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tarbuck\Downloads\"/>
    </mc:Choice>
  </mc:AlternateContent>
  <xr:revisionPtr revIDLastSave="0" documentId="8_{6F4DE728-9A25-4D36-A3CE-CAE523698D3F}" xr6:coauthVersionLast="44" xr6:coauthVersionMax="44" xr10:uidLastSave="{00000000-0000-0000-0000-000000000000}"/>
  <bookViews>
    <workbookView xWindow="23160" yWindow="2565" windowWidth="15375" windowHeight="7875" tabRatio="799" xr2:uid="{7119E9DC-4A6B-4922-818A-986C751B643C}"/>
  </bookViews>
  <sheets>
    <sheet name="TBL of Contents" sheetId="2" r:id="rId1"/>
    <sheet name="List of State Grants" sheetId="1" r:id="rId2"/>
    <sheet name="Title Page-1" sheetId="3" r:id="rId3"/>
    <sheet name="Comparative Summary-1" sheetId="4" r:id="rId4"/>
    <sheet name="19_20 District Budget Sum-1" sheetId="5" r:id="rId5"/>
    <sheet name="PCFP - All Revenue AA-1 R-1" sheetId="6" r:id="rId6"/>
    <sheet name="PCFP-All Expense AA-1 Modifd-1" sheetId="7" r:id="rId7"/>
    <sheet name="Title Page-2" sheetId="8" r:id="rId8"/>
    <sheet name="Comparative Summary-2" sheetId="9" r:id="rId9"/>
    <sheet name="19_20 District Budget Summary-2" sheetId="10" r:id="rId10"/>
    <sheet name="PCFP - All Revenue AA-1 R-2" sheetId="11" r:id="rId11"/>
    <sheet name="PCFP-All Expense AA-1 Modifd-2" sheetId="12" r:id="rId12"/>
    <sheet name="Comments-Questions-2" sheetId="13" r:id="rId13"/>
    <sheet name="Title Page-3" sheetId="14" r:id="rId14"/>
    <sheet name="Comparative Summary-3" sheetId="15" r:id="rId15"/>
    <sheet name="19_20 District Budget-3" sheetId="16" r:id="rId16"/>
    <sheet name="PCFP - All Revenue AA-1 R-3" sheetId="17" r:id="rId17"/>
    <sheet name="PCFP-All Expense AA-1 Modif-3" sheetId="18" r:id="rId18"/>
    <sheet name="Title Page-4" sheetId="19" r:id="rId19"/>
    <sheet name="Comparative Summary-4" sheetId="20" r:id="rId20"/>
    <sheet name="19_20 District Budget-4" sheetId="21" r:id="rId21"/>
    <sheet name="PCFP - All Revenue AA-1 R-4" sheetId="22" r:id="rId22"/>
    <sheet name="PCFP-All Expense AA-1 Modif-4" sheetId="23" r:id="rId23"/>
    <sheet name="Title Page-Elko-5" sheetId="24" r:id="rId24"/>
    <sheet name="Comparative Summary-5" sheetId="25" r:id="rId25"/>
    <sheet name="19_20 District Budget-5" sheetId="26" r:id="rId26"/>
    <sheet name="PCFP - All Revenue AA-1 R-5" sheetId="27" r:id="rId27"/>
    <sheet name="PCFP-All Expense AA-1 Modif-5" sheetId="28" r:id="rId28"/>
    <sheet name="Title Page-6" sheetId="29" r:id="rId29"/>
    <sheet name="Comparative Summary-6" sheetId="30" r:id="rId30"/>
    <sheet name="19_20 District Budget Summ-6" sheetId="31" r:id="rId31"/>
    <sheet name="PCFP - All Revenue AA-1 R -6" sheetId="32" r:id="rId32"/>
    <sheet name="PCFP-All Expense AA-1 Modif-6" sheetId="33" r:id="rId33"/>
    <sheet name="Title Page-7" sheetId="34" r:id="rId34"/>
    <sheet name="Comparative Summary-7" sheetId="35" r:id="rId35"/>
    <sheet name="19_20 District Budget Summ-7" sheetId="36" r:id="rId36"/>
    <sheet name="PCFP - All Revenue AA-1 R-7" sheetId="37" r:id="rId37"/>
    <sheet name="PCFP-All Expense AA-1 Modif-7" sheetId="38" r:id="rId38"/>
    <sheet name="Title Page-8" sheetId="39" r:id="rId39"/>
    <sheet name="Comparative Summary-8" sheetId="40" r:id="rId40"/>
    <sheet name="19_20 District Budget Summa-8" sheetId="41" r:id="rId41"/>
    <sheet name="PCFP - All Revenue AA-1 R-8" sheetId="42" r:id="rId42"/>
    <sheet name="PCFP-All Expense AA-1 Modif-8" sheetId="43" r:id="rId43"/>
    <sheet name="Title Page-9" sheetId="44" r:id="rId44"/>
    <sheet name="Comparative Summary-9" sheetId="45" r:id="rId45"/>
    <sheet name="19_20 District Budget-9" sheetId="46" r:id="rId46"/>
    <sheet name="PCFP - All Revenue AA-1 R-9" sheetId="47" r:id="rId47"/>
    <sheet name="PCFP-All Expense AA-1 Modif-9" sheetId="48" r:id="rId48"/>
    <sheet name="Title Page-10" sheetId="49" r:id="rId49"/>
    <sheet name="Comparative Summary-19" sheetId="50" r:id="rId50"/>
    <sheet name="19_20 District Budget Summ-10" sheetId="51" r:id="rId51"/>
    <sheet name="PCFP - All Revenue AA-1 R-10" sheetId="52" r:id="rId52"/>
    <sheet name="PCFP-All Expense AA-1 Modifd-10" sheetId="53" r:id="rId53"/>
    <sheet name="Title Page-11" sheetId="85" r:id="rId54"/>
    <sheet name="Comparative Summary-11" sheetId="86" r:id="rId55"/>
    <sheet name="19_20 District Budget Summ-11" sheetId="87" r:id="rId56"/>
    <sheet name="PCFP - All Revenue AA-1 R-11" sheetId="88" r:id="rId57"/>
    <sheet name="PCFP-All Expense AA-1 Modifd-11" sheetId="89" r:id="rId58"/>
    <sheet name="Title Page-12" sheetId="54" r:id="rId59"/>
    <sheet name="Comparative Summary-12" sheetId="55" r:id="rId60"/>
    <sheet name="19_20 District Budget Summ-12" sheetId="56" r:id="rId61"/>
    <sheet name="PCFP - All Revenue AA-1 R -12" sheetId="57" r:id="rId62"/>
    <sheet name="PCFP-All Expense AA-1 Modi-12" sheetId="58" r:id="rId63"/>
    <sheet name="Title Page-13" sheetId="59" r:id="rId64"/>
    <sheet name="Comparative Summary-13" sheetId="60" r:id="rId65"/>
    <sheet name="19_20 District Budget Summ-13" sheetId="61" r:id="rId66"/>
    <sheet name="PCFP - All Revenue AA-1 R -13" sheetId="62" r:id="rId67"/>
    <sheet name="PCFP-All Expense AA-1 Modi-13" sheetId="63" r:id="rId68"/>
    <sheet name="Title Page-14" sheetId="64" r:id="rId69"/>
    <sheet name="Comparative Summary-14" sheetId="65" r:id="rId70"/>
    <sheet name="19_20 District Budget Summ-14" sheetId="66" r:id="rId71"/>
    <sheet name="PCFP - All Revenue AA-1 R-14" sheetId="67" r:id="rId72"/>
    <sheet name="PCFP-All Expense AA-1 Modi-14" sheetId="68" r:id="rId73"/>
    <sheet name="Title Page-15" sheetId="69" r:id="rId74"/>
    <sheet name="Comparative Summary-15" sheetId="70" r:id="rId75"/>
    <sheet name="19_20 District Budget Summ-15" sheetId="71" r:id="rId76"/>
    <sheet name="PCFP - All Revenue AA-1 R-15" sheetId="72" r:id="rId77"/>
    <sheet name="PCFP-All Expense AA-1 Modi-15" sheetId="73" r:id="rId78"/>
    <sheet name="Title Page-16" sheetId="74" r:id="rId79"/>
    <sheet name="Comparative Summary-16" sheetId="75" r:id="rId80"/>
    <sheet name="19_20 District Budget Summ-16" sheetId="76" r:id="rId81"/>
    <sheet name="PCFP - All Revenue AA-1 R-16" sheetId="77" r:id="rId82"/>
    <sheet name="PCFP-All Expense AA-1 Modi-16" sheetId="78" r:id="rId83"/>
    <sheet name="Title Page-17" sheetId="79" r:id="rId84"/>
    <sheet name="Comparative Summary-17" sheetId="80" r:id="rId85"/>
    <sheet name="19_20 District Budget Summ-17" sheetId="81" r:id="rId86"/>
    <sheet name="PCFP - All Revenue AA-1 R-17" sheetId="82" r:id="rId87"/>
    <sheet name="PCFP-All Expense AA-1 Modi-17" sheetId="83" r:id="rId88"/>
  </sheets>
  <externalReferences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_xlnm.Print_Area" localSheetId="55">'19_20 District Budget Summ-11'!$A$1:$V$221</definedName>
    <definedName name="_xlnm.Print_Area" localSheetId="61">'PCFP - All Revenue AA-1 R -12'!$A$1:$I$92</definedName>
    <definedName name="_xlnm.Print_Area" localSheetId="66">'PCFP - All Revenue AA-1 R -13'!$A$1:$I$82</definedName>
    <definedName name="_xlnm.Print_Area" localSheetId="31">'PCFP - All Revenue AA-1 R -6'!$A$1:$I$82</definedName>
    <definedName name="_xlnm.Print_Area" localSheetId="5">'PCFP - All Revenue AA-1 R-1'!$A$1:$I$82</definedName>
    <definedName name="_xlnm.Print_Area" localSheetId="51">'PCFP - All Revenue AA-1 R-10'!$A$1:$I$82</definedName>
    <definedName name="_xlnm.Print_Area" localSheetId="56">'PCFP - All Revenue AA-1 R-11'!$A$1:$I$82</definedName>
    <definedName name="_xlnm.Print_Area" localSheetId="71">'PCFP - All Revenue AA-1 R-14'!$A$1:$I$82</definedName>
    <definedName name="_xlnm.Print_Area" localSheetId="76">'PCFP - All Revenue AA-1 R-15'!$A$1:$I$85</definedName>
    <definedName name="_xlnm.Print_Area" localSheetId="81">'PCFP - All Revenue AA-1 R-16'!$A$1:$I$108</definedName>
    <definedName name="_xlnm.Print_Area" localSheetId="86">'PCFP - All Revenue AA-1 R-17'!$A$1:$M$89</definedName>
    <definedName name="_xlnm.Print_Area" localSheetId="10">'PCFP - All Revenue AA-1 R-2'!$A$1:$I$95</definedName>
    <definedName name="_xlnm.Print_Area" localSheetId="16">'PCFP - All Revenue AA-1 R-3'!$A$1:$I$86</definedName>
    <definedName name="_xlnm.Print_Area" localSheetId="21">'PCFP - All Revenue AA-1 R-4'!$A$1:$I$83</definedName>
    <definedName name="_xlnm.Print_Area" localSheetId="26">'PCFP - All Revenue AA-1 R-5'!$A$1:$I$85</definedName>
    <definedName name="_xlnm.Print_Area" localSheetId="36">'PCFP - All Revenue AA-1 R-7'!$A$1:$I$83</definedName>
    <definedName name="_xlnm.Print_Area" localSheetId="41">'PCFP - All Revenue AA-1 R-8'!$A$1:$I$83</definedName>
    <definedName name="_xlnm.Print_Area" localSheetId="46">'PCFP - All Revenue AA-1 R-9'!$A$1:$I$82</definedName>
    <definedName name="_xlnm.Print_Area" localSheetId="62">'PCFP-All Expense AA-1 Modi-12'!$A$1:$K$153</definedName>
    <definedName name="_xlnm.Print_Area" localSheetId="67">'PCFP-All Expense AA-1 Modi-13'!$A$1:$K$153</definedName>
    <definedName name="_xlnm.Print_Area" localSheetId="72">'PCFP-All Expense AA-1 Modi-14'!$A$1:$K$150</definedName>
    <definedName name="_xlnm.Print_Area" localSheetId="77">'PCFP-All Expense AA-1 Modi-15'!$A$1:$J$153</definedName>
    <definedName name="_xlnm.Print_Area" localSheetId="82">'PCFP-All Expense AA-1 Modi-16'!$A$1:$K$151</definedName>
    <definedName name="_xlnm.Print_Area" localSheetId="87">'PCFP-All Expense AA-1 Modi-17'!$A$1:$K$150</definedName>
    <definedName name="_xlnm.Print_Area" localSheetId="17">'PCFP-All Expense AA-1 Modif-3'!$A$1:$K$150</definedName>
    <definedName name="_xlnm.Print_Area" localSheetId="22">'PCFP-All Expense AA-1 Modif-4'!$A$1:$K$153</definedName>
    <definedName name="_xlnm.Print_Area" localSheetId="27">'PCFP-All Expense AA-1 Modif-5'!$A$1:$K$153</definedName>
    <definedName name="_xlnm.Print_Area" localSheetId="32">'PCFP-All Expense AA-1 Modif-6'!$A$1:$K$151</definedName>
    <definedName name="_xlnm.Print_Area" localSheetId="37">'PCFP-All Expense AA-1 Modif-7'!$A$1:$K$151</definedName>
    <definedName name="_xlnm.Print_Area" localSheetId="42">'PCFP-All Expense AA-1 Modif-8'!$A$1:$J$153</definedName>
    <definedName name="_xlnm.Print_Area" localSheetId="47">'PCFP-All Expense AA-1 Modif-9'!$A$1:$K$151</definedName>
    <definedName name="_xlnm.Print_Area" localSheetId="6">'PCFP-All Expense AA-1 Modifd-1'!$A$1:$K$151</definedName>
    <definedName name="_xlnm.Print_Area" localSheetId="52">'PCFP-All Expense AA-1 Modifd-10'!$A$1:$K$150</definedName>
    <definedName name="_xlnm.Print_Area" localSheetId="57">'PCFP-All Expense AA-1 Modifd-11'!$A$1:$K$150</definedName>
    <definedName name="_xlnm.Print_Area" localSheetId="11">'PCFP-All Expense AA-1 Modifd-2'!$A$4:$K$153</definedName>
    <definedName name="_xlnm.Print_Titles" localSheetId="9">'19_20 District Budget Summary-2'!$1:$4</definedName>
    <definedName name="_xlnm.Print_Titles" localSheetId="8">'Comparative Summary-2'!$1:$3</definedName>
    <definedName name="_xlnm.Print_Titles" localSheetId="10">'PCFP - All Revenue AA-1 R-2'!$1:$5</definedName>
    <definedName name="_xlnm.Print_Titles" localSheetId="11">'PCFP-All Expense AA-1 Modifd-2'!$1:$4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9" i="89" l="1"/>
  <c r="J146" i="89"/>
  <c r="I144" i="89"/>
  <c r="H144" i="89"/>
  <c r="G144" i="89"/>
  <c r="F144" i="89"/>
  <c r="E144" i="89"/>
  <c r="E145" i="89" s="1"/>
  <c r="E147" i="89" s="1"/>
  <c r="D144" i="89"/>
  <c r="C144" i="89"/>
  <c r="C145" i="89" s="1"/>
  <c r="J143" i="89"/>
  <c r="J142" i="89"/>
  <c r="J141" i="89"/>
  <c r="J140" i="89"/>
  <c r="J139" i="89"/>
  <c r="J138" i="89"/>
  <c r="J137" i="89"/>
  <c r="J136" i="89"/>
  <c r="J135" i="89"/>
  <c r="J134" i="89"/>
  <c r="J133" i="89"/>
  <c r="J132" i="89"/>
  <c r="J131" i="89"/>
  <c r="J130" i="89"/>
  <c r="J129" i="89"/>
  <c r="J127" i="89"/>
  <c r="J126" i="89"/>
  <c r="J125" i="89"/>
  <c r="J124" i="89"/>
  <c r="J123" i="89"/>
  <c r="J122" i="89"/>
  <c r="J121" i="89"/>
  <c r="J120" i="89"/>
  <c r="J119" i="89"/>
  <c r="J118" i="89"/>
  <c r="J117" i="89"/>
  <c r="J116" i="89"/>
  <c r="J115" i="89"/>
  <c r="J114" i="89"/>
  <c r="J113" i="89"/>
  <c r="J112" i="89"/>
  <c r="J111" i="89"/>
  <c r="J110" i="89"/>
  <c r="J109" i="89"/>
  <c r="J108" i="89"/>
  <c r="J107" i="89"/>
  <c r="J106" i="89"/>
  <c r="J105" i="89"/>
  <c r="J104" i="89"/>
  <c r="J103" i="89"/>
  <c r="J102" i="89"/>
  <c r="J101" i="89"/>
  <c r="J100" i="89"/>
  <c r="J99" i="89"/>
  <c r="J98" i="89"/>
  <c r="J97" i="89"/>
  <c r="J96" i="89"/>
  <c r="J95" i="89"/>
  <c r="J94" i="89"/>
  <c r="J93" i="89"/>
  <c r="J92" i="89"/>
  <c r="J91" i="89"/>
  <c r="J90" i="89"/>
  <c r="J89" i="89"/>
  <c r="J88" i="89"/>
  <c r="J87" i="89"/>
  <c r="J86" i="89"/>
  <c r="J85" i="89"/>
  <c r="J84" i="89"/>
  <c r="J83" i="89"/>
  <c r="J82" i="89"/>
  <c r="J81" i="89"/>
  <c r="J80" i="89"/>
  <c r="J79" i="89"/>
  <c r="J78" i="89"/>
  <c r="J77" i="89"/>
  <c r="J76" i="89"/>
  <c r="J75" i="89"/>
  <c r="J74" i="89"/>
  <c r="J73" i="89"/>
  <c r="J72" i="89"/>
  <c r="J71" i="89"/>
  <c r="J70" i="89"/>
  <c r="J69" i="89"/>
  <c r="J68" i="89"/>
  <c r="J67" i="89"/>
  <c r="J66" i="89"/>
  <c r="J65" i="89"/>
  <c r="J64" i="89"/>
  <c r="J63" i="89"/>
  <c r="J62" i="89"/>
  <c r="J61" i="89"/>
  <c r="J60" i="89"/>
  <c r="J59" i="89"/>
  <c r="J58" i="89"/>
  <c r="J57" i="89"/>
  <c r="J56" i="89"/>
  <c r="H54" i="89"/>
  <c r="H145" i="89" s="1"/>
  <c r="H147" i="89" s="1"/>
  <c r="G54" i="89"/>
  <c r="G145" i="89" s="1"/>
  <c r="G147" i="89" s="1"/>
  <c r="E54" i="89"/>
  <c r="C54" i="89"/>
  <c r="J53" i="89"/>
  <c r="J52" i="89"/>
  <c r="J51" i="89"/>
  <c r="I51" i="89"/>
  <c r="I54" i="89" s="1"/>
  <c r="I145" i="89" s="1"/>
  <c r="I147" i="89" s="1"/>
  <c r="H51" i="89"/>
  <c r="G51" i="89"/>
  <c r="F51" i="89"/>
  <c r="F54" i="89" s="1"/>
  <c r="F145" i="89" s="1"/>
  <c r="F147" i="89" s="1"/>
  <c r="E51" i="89"/>
  <c r="D51" i="89"/>
  <c r="D54" i="89" s="1"/>
  <c r="C51" i="89"/>
  <c r="J50" i="89"/>
  <c r="J49" i="89"/>
  <c r="J48" i="89"/>
  <c r="J47" i="89"/>
  <c r="J46" i="89"/>
  <c r="J45" i="89"/>
  <c r="J44" i="89"/>
  <c r="J43" i="89"/>
  <c r="J42" i="89"/>
  <c r="J41" i="89"/>
  <c r="J40" i="89"/>
  <c r="J39" i="89"/>
  <c r="J38" i="89"/>
  <c r="J37" i="89"/>
  <c r="J36" i="89"/>
  <c r="J35" i="89"/>
  <c r="J34" i="89"/>
  <c r="J33" i="89"/>
  <c r="J32" i="89"/>
  <c r="J31" i="89"/>
  <c r="J30" i="89"/>
  <c r="J29" i="89"/>
  <c r="J28" i="89"/>
  <c r="J27" i="89"/>
  <c r="J26" i="89"/>
  <c r="J25" i="89"/>
  <c r="J24" i="89"/>
  <c r="J23" i="89"/>
  <c r="J22" i="89"/>
  <c r="J21" i="89"/>
  <c r="J20" i="89"/>
  <c r="J18" i="89"/>
  <c r="J17" i="89"/>
  <c r="J16" i="89"/>
  <c r="J15" i="89"/>
  <c r="J14" i="89"/>
  <c r="J13" i="89"/>
  <c r="J12" i="89"/>
  <c r="J11" i="89"/>
  <c r="J10" i="89"/>
  <c r="J9" i="89"/>
  <c r="J8" i="89"/>
  <c r="J7" i="89"/>
  <c r="J6" i="89"/>
  <c r="J5" i="89"/>
  <c r="J4" i="89"/>
  <c r="J3" i="89"/>
  <c r="G81" i="88"/>
  <c r="C81" i="88"/>
  <c r="B149" i="89" s="1"/>
  <c r="H79" i="88"/>
  <c r="G79" i="88"/>
  <c r="F79" i="88"/>
  <c r="E79" i="88"/>
  <c r="D79" i="88"/>
  <c r="F74" i="88"/>
  <c r="H71" i="88"/>
  <c r="G71" i="88"/>
  <c r="F71" i="88"/>
  <c r="E71" i="88"/>
  <c r="D71" i="88"/>
  <c r="H67" i="88"/>
  <c r="H74" i="88" s="1"/>
  <c r="G67" i="88"/>
  <c r="F67" i="88"/>
  <c r="E67" i="88"/>
  <c r="D67" i="88"/>
  <c r="H57" i="88"/>
  <c r="G57" i="88"/>
  <c r="F57" i="88"/>
  <c r="E57" i="88"/>
  <c r="D57" i="88"/>
  <c r="H49" i="88"/>
  <c r="G49" i="88"/>
  <c r="F49" i="88"/>
  <c r="E49" i="88"/>
  <c r="D49" i="88"/>
  <c r="D74" i="88" s="1"/>
  <c r="H33" i="88"/>
  <c r="G33" i="88"/>
  <c r="G74" i="88" s="1"/>
  <c r="F33" i="88"/>
  <c r="E33" i="88"/>
  <c r="E74" i="88" s="1"/>
  <c r="D33" i="88"/>
  <c r="U221" i="87"/>
  <c r="U220" i="87"/>
  <c r="U219" i="87"/>
  <c r="U218" i="87"/>
  <c r="U217" i="87"/>
  <c r="U216" i="87"/>
  <c r="U215" i="87"/>
  <c r="U214" i="87"/>
  <c r="U213" i="87"/>
  <c r="U212" i="87"/>
  <c r="U211" i="87"/>
  <c r="U210" i="87"/>
  <c r="U209" i="87"/>
  <c r="U208" i="87"/>
  <c r="U207" i="87"/>
  <c r="U206" i="87"/>
  <c r="U205" i="87"/>
  <c r="U204" i="87"/>
  <c r="U203" i="87"/>
  <c r="U202" i="87"/>
  <c r="U201" i="87"/>
  <c r="C139" i="86" s="1"/>
  <c r="U200" i="87"/>
  <c r="U199" i="87"/>
  <c r="U198" i="87"/>
  <c r="U197" i="87"/>
  <c r="U196" i="87"/>
  <c r="U195" i="87"/>
  <c r="U194" i="87"/>
  <c r="U193" i="87"/>
  <c r="C132" i="86" s="1"/>
  <c r="U192" i="87"/>
  <c r="U191" i="87"/>
  <c r="U190" i="87"/>
  <c r="U189" i="87"/>
  <c r="U188" i="87"/>
  <c r="U187" i="87"/>
  <c r="U186" i="87"/>
  <c r="U185" i="87"/>
  <c r="C124" i="86" s="1"/>
  <c r="U184" i="87"/>
  <c r="U183" i="87"/>
  <c r="U182" i="87"/>
  <c r="U181" i="87"/>
  <c r="U180" i="87"/>
  <c r="U179" i="87"/>
  <c r="U178" i="87"/>
  <c r="U177" i="87"/>
  <c r="C116" i="86" s="1"/>
  <c r="U176" i="87"/>
  <c r="U175" i="87"/>
  <c r="U174" i="87"/>
  <c r="U173" i="87"/>
  <c r="U172" i="87"/>
  <c r="U171" i="87"/>
  <c r="U170" i="87"/>
  <c r="U169" i="87"/>
  <c r="C108" i="86" s="1"/>
  <c r="U168" i="87"/>
  <c r="U167" i="87"/>
  <c r="U166" i="87"/>
  <c r="U165" i="87"/>
  <c r="U164" i="87"/>
  <c r="U163" i="87"/>
  <c r="U162" i="87"/>
  <c r="U161" i="87"/>
  <c r="C100" i="86" s="1"/>
  <c r="U160" i="87"/>
  <c r="U159" i="87"/>
  <c r="U158" i="87"/>
  <c r="U157" i="87"/>
  <c r="U156" i="87"/>
  <c r="U155" i="87"/>
  <c r="U154" i="87"/>
  <c r="U153" i="87"/>
  <c r="C92" i="86" s="1"/>
  <c r="U152" i="87"/>
  <c r="U151" i="87"/>
  <c r="U150" i="87"/>
  <c r="U149" i="87"/>
  <c r="U148" i="87"/>
  <c r="U147" i="87"/>
  <c r="U146" i="87"/>
  <c r="U145" i="87"/>
  <c r="C84" i="86" s="1"/>
  <c r="U144" i="87"/>
  <c r="U143" i="87"/>
  <c r="U142" i="87"/>
  <c r="U141" i="87"/>
  <c r="U140" i="87"/>
  <c r="U139" i="87"/>
  <c r="U138" i="87"/>
  <c r="U137" i="87"/>
  <c r="C76" i="86" s="1"/>
  <c r="U136" i="87"/>
  <c r="U135" i="87"/>
  <c r="U134" i="87"/>
  <c r="U133" i="87"/>
  <c r="U132" i="87"/>
  <c r="U129" i="87"/>
  <c r="U128" i="87"/>
  <c r="U127" i="87"/>
  <c r="C63" i="86" s="1"/>
  <c r="U126" i="87"/>
  <c r="U125" i="87"/>
  <c r="U124" i="87"/>
  <c r="U123" i="87"/>
  <c r="U122" i="87"/>
  <c r="U121" i="87"/>
  <c r="U120" i="87"/>
  <c r="U119" i="87"/>
  <c r="C55" i="86" s="1"/>
  <c r="U118" i="87"/>
  <c r="U117" i="87"/>
  <c r="U116" i="87"/>
  <c r="U115" i="87"/>
  <c r="U114" i="87"/>
  <c r="U113" i="87"/>
  <c r="U112" i="87"/>
  <c r="U111" i="87"/>
  <c r="C47" i="86" s="1"/>
  <c r="U110" i="87"/>
  <c r="U109" i="87"/>
  <c r="U108" i="87"/>
  <c r="U107" i="87"/>
  <c r="U106" i="87"/>
  <c r="U105" i="87"/>
  <c r="U104" i="87"/>
  <c r="U103" i="87"/>
  <c r="C39" i="86" s="1"/>
  <c r="C38" i="86" s="1"/>
  <c r="U100" i="87"/>
  <c r="U99" i="87"/>
  <c r="U98" i="87"/>
  <c r="U97" i="87"/>
  <c r="U96" i="87"/>
  <c r="U95" i="87"/>
  <c r="U94" i="87"/>
  <c r="U93" i="87"/>
  <c r="C30" i="86" s="1"/>
  <c r="U92" i="87"/>
  <c r="U91" i="87"/>
  <c r="U90" i="87"/>
  <c r="U89" i="87"/>
  <c r="U88" i="87"/>
  <c r="U87" i="87"/>
  <c r="U86" i="87"/>
  <c r="U85" i="87"/>
  <c r="C22" i="86" s="1"/>
  <c r="C21" i="86" s="1"/>
  <c r="T81" i="87"/>
  <c r="S81" i="87"/>
  <c r="R81" i="87"/>
  <c r="Q81" i="87"/>
  <c r="P81" i="87"/>
  <c r="O81" i="87"/>
  <c r="N81" i="87"/>
  <c r="M81" i="87"/>
  <c r="L81" i="87"/>
  <c r="K81" i="87"/>
  <c r="J81" i="87"/>
  <c r="I81" i="87"/>
  <c r="H81" i="87"/>
  <c r="G81" i="87"/>
  <c r="F81" i="87"/>
  <c r="E81" i="87"/>
  <c r="D81" i="87"/>
  <c r="C81" i="87"/>
  <c r="U81" i="87" s="1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V76" i="87"/>
  <c r="U76" i="87"/>
  <c r="V75" i="87"/>
  <c r="U75" i="87"/>
  <c r="V74" i="87"/>
  <c r="U74" i="87"/>
  <c r="V73" i="87"/>
  <c r="U73" i="87"/>
  <c r="V72" i="87"/>
  <c r="U72" i="87"/>
  <c r="V71" i="87"/>
  <c r="U71" i="87"/>
  <c r="O69" i="87"/>
  <c r="O80" i="87" s="1"/>
  <c r="O82" i="87" s="1"/>
  <c r="G69" i="87"/>
  <c r="G80" i="87" s="1"/>
  <c r="G82" i="87" s="1"/>
  <c r="T67" i="87"/>
  <c r="T69" i="87" s="1"/>
  <c r="S67" i="87"/>
  <c r="R67" i="87"/>
  <c r="R69" i="87" s="1"/>
  <c r="Q67" i="87"/>
  <c r="P67" i="87"/>
  <c r="O67" i="87"/>
  <c r="N67" i="87"/>
  <c r="N69" i="87" s="1"/>
  <c r="M67" i="87"/>
  <c r="L67" i="87"/>
  <c r="L69" i="87" s="1"/>
  <c r="K67" i="87"/>
  <c r="J67" i="87"/>
  <c r="J69" i="87" s="1"/>
  <c r="I67" i="87"/>
  <c r="H67" i="87"/>
  <c r="G67" i="87"/>
  <c r="F67" i="87"/>
  <c r="F69" i="87" s="1"/>
  <c r="E67" i="87"/>
  <c r="D67" i="87"/>
  <c r="D69" i="87" s="1"/>
  <c r="C67" i="87"/>
  <c r="U67" i="87" s="1"/>
  <c r="C11" i="86" s="1"/>
  <c r="E11" i="86" s="1"/>
  <c r="V65" i="87"/>
  <c r="V64" i="87"/>
  <c r="V63" i="87"/>
  <c r="V62" i="87"/>
  <c r="T60" i="87"/>
  <c r="S60" i="87"/>
  <c r="S69" i="87" s="1"/>
  <c r="S80" i="87" s="1"/>
  <c r="S82" i="87" s="1"/>
  <c r="R60" i="87"/>
  <c r="Q60" i="87"/>
  <c r="Q69" i="87" s="1"/>
  <c r="Q80" i="87" s="1"/>
  <c r="Q82" i="87" s="1"/>
  <c r="P60" i="87"/>
  <c r="O60" i="87"/>
  <c r="N60" i="87"/>
  <c r="M60" i="87"/>
  <c r="M69" i="87" s="1"/>
  <c r="M80" i="87" s="1"/>
  <c r="M82" i="87" s="1"/>
  <c r="L60" i="87"/>
  <c r="K60" i="87"/>
  <c r="K69" i="87" s="1"/>
  <c r="K80" i="87" s="1"/>
  <c r="K82" i="87" s="1"/>
  <c r="J60" i="87"/>
  <c r="I60" i="87"/>
  <c r="I69" i="87" s="1"/>
  <c r="I80" i="87" s="1"/>
  <c r="I82" i="87" s="1"/>
  <c r="H60" i="87"/>
  <c r="G60" i="87"/>
  <c r="F60" i="87"/>
  <c r="E60" i="87"/>
  <c r="E69" i="87" s="1"/>
  <c r="E80" i="87" s="1"/>
  <c r="E82" i="87" s="1"/>
  <c r="D60" i="87"/>
  <c r="C60" i="87"/>
  <c r="C69" i="87" s="1"/>
  <c r="C80" i="87" s="1"/>
  <c r="V58" i="87"/>
  <c r="U58" i="87"/>
  <c r="V57" i="87"/>
  <c r="U57" i="87"/>
  <c r="V56" i="87"/>
  <c r="U56" i="87"/>
  <c r="V55" i="87"/>
  <c r="U55" i="87"/>
  <c r="V54" i="87"/>
  <c r="U54" i="87"/>
  <c r="V53" i="87"/>
  <c r="U53" i="87"/>
  <c r="V52" i="87"/>
  <c r="U52" i="87"/>
  <c r="V51" i="87"/>
  <c r="U51" i="87"/>
  <c r="V50" i="87"/>
  <c r="U50" i="87"/>
  <c r="V49" i="87"/>
  <c r="U49" i="87"/>
  <c r="V48" i="87"/>
  <c r="U48" i="87"/>
  <c r="T46" i="87"/>
  <c r="S46" i="87"/>
  <c r="R46" i="87"/>
  <c r="Q46" i="87"/>
  <c r="P46" i="87"/>
  <c r="P69" i="87" s="1"/>
  <c r="O46" i="87"/>
  <c r="N46" i="87"/>
  <c r="M46" i="87"/>
  <c r="L46" i="87"/>
  <c r="K46" i="87"/>
  <c r="J46" i="87"/>
  <c r="I46" i="87"/>
  <c r="H46" i="87"/>
  <c r="H69" i="87" s="1"/>
  <c r="G46" i="87"/>
  <c r="F46" i="87"/>
  <c r="E46" i="87"/>
  <c r="D46" i="87"/>
  <c r="C46" i="87"/>
  <c r="U46" i="87" s="1"/>
  <c r="C7" i="86" s="1"/>
  <c r="E7" i="86" s="1"/>
  <c r="V44" i="87"/>
  <c r="U44" i="87"/>
  <c r="V43" i="87"/>
  <c r="U43" i="87"/>
  <c r="V42" i="87"/>
  <c r="U42" i="87"/>
  <c r="V41" i="87"/>
  <c r="U41" i="87"/>
  <c r="V40" i="87"/>
  <c r="U40" i="87"/>
  <c r="V39" i="87"/>
  <c r="U39" i="87"/>
  <c r="V38" i="87"/>
  <c r="U38" i="87"/>
  <c r="V37" i="87"/>
  <c r="U37" i="87"/>
  <c r="V36" i="87"/>
  <c r="U36" i="87"/>
  <c r="V35" i="87"/>
  <c r="U35" i="87"/>
  <c r="T33" i="87"/>
  <c r="S33" i="87"/>
  <c r="R33" i="87"/>
  <c r="Q33" i="87"/>
  <c r="P33" i="87"/>
  <c r="O33" i="87"/>
  <c r="N33" i="87"/>
  <c r="M33" i="87"/>
  <c r="L33" i="87"/>
  <c r="K33" i="87"/>
  <c r="J33" i="87"/>
  <c r="I33" i="87"/>
  <c r="H33" i="87"/>
  <c r="G33" i="87"/>
  <c r="F33" i="87"/>
  <c r="E33" i="87"/>
  <c r="D33" i="87"/>
  <c r="C33" i="87"/>
  <c r="U33" i="87" s="1"/>
  <c r="V31" i="87"/>
  <c r="U31" i="87"/>
  <c r="V30" i="87"/>
  <c r="U30" i="87"/>
  <c r="V29" i="87"/>
  <c r="U29" i="87"/>
  <c r="V28" i="87"/>
  <c r="U28" i="87"/>
  <c r="V27" i="87"/>
  <c r="U27" i="87"/>
  <c r="V26" i="87"/>
  <c r="U26" i="87"/>
  <c r="V25" i="87"/>
  <c r="U25" i="87"/>
  <c r="V24" i="87"/>
  <c r="U24" i="87"/>
  <c r="V23" i="87"/>
  <c r="U23" i="87"/>
  <c r="V22" i="87"/>
  <c r="U22" i="87"/>
  <c r="V21" i="87"/>
  <c r="U21" i="87"/>
  <c r="V20" i="87"/>
  <c r="U20" i="87"/>
  <c r="V19" i="87"/>
  <c r="U19" i="87"/>
  <c r="V18" i="87"/>
  <c r="U18" i="87"/>
  <c r="V17" i="87"/>
  <c r="U17" i="87"/>
  <c r="V16" i="87"/>
  <c r="U16" i="87"/>
  <c r="V15" i="87"/>
  <c r="U15" i="87"/>
  <c r="V14" i="87"/>
  <c r="U14" i="87"/>
  <c r="V13" i="87"/>
  <c r="U13" i="87"/>
  <c r="V12" i="87"/>
  <c r="U12" i="87"/>
  <c r="W11" i="87"/>
  <c r="V11" i="87"/>
  <c r="U11" i="87"/>
  <c r="V10" i="87"/>
  <c r="W10" i="87" s="1"/>
  <c r="U10" i="87"/>
  <c r="W9" i="87"/>
  <c r="V9" i="87"/>
  <c r="U9" i="87"/>
  <c r="V8" i="87"/>
  <c r="U8" i="87"/>
  <c r="V7" i="87"/>
  <c r="W7" i="87" s="1"/>
  <c r="U7" i="87"/>
  <c r="W6" i="87"/>
  <c r="V6" i="87"/>
  <c r="U6" i="87"/>
  <c r="V5" i="87"/>
  <c r="W5" i="87" s="1"/>
  <c r="U5" i="87"/>
  <c r="C158" i="86"/>
  <c r="C157" i="86"/>
  <c r="C156" i="86"/>
  <c r="C155" i="86"/>
  <c r="C154" i="86"/>
  <c r="C153" i="86"/>
  <c r="C152" i="86"/>
  <c r="C151" i="86"/>
  <c r="C150" i="86"/>
  <c r="C149" i="86"/>
  <c r="C148" i="86"/>
  <c r="C147" i="86"/>
  <c r="C146" i="86"/>
  <c r="C145" i="86"/>
  <c r="C144" i="86"/>
  <c r="C142" i="86"/>
  <c r="C141" i="86"/>
  <c r="C140" i="86"/>
  <c r="C138" i="86"/>
  <c r="C137" i="86"/>
  <c r="C136" i="86"/>
  <c r="C135" i="86"/>
  <c r="C134" i="86"/>
  <c r="C133" i="86"/>
  <c r="C131" i="86"/>
  <c r="C130" i="86"/>
  <c r="C129" i="86"/>
  <c r="C128" i="86"/>
  <c r="C127" i="86"/>
  <c r="C126" i="86"/>
  <c r="C125" i="86"/>
  <c r="C123" i="86"/>
  <c r="C122" i="86"/>
  <c r="C121" i="86"/>
  <c r="C120" i="86"/>
  <c r="C119" i="86"/>
  <c r="C118" i="86"/>
  <c r="C117" i="86"/>
  <c r="C115" i="86"/>
  <c r="C114" i="86"/>
  <c r="C113" i="86"/>
  <c r="C112" i="86"/>
  <c r="C111" i="86"/>
  <c r="C110" i="86"/>
  <c r="C109" i="86"/>
  <c r="C107" i="86"/>
  <c r="C106" i="86"/>
  <c r="C105" i="86"/>
  <c r="C104" i="86"/>
  <c r="C103" i="86"/>
  <c r="C102" i="86"/>
  <c r="C101" i="86"/>
  <c r="C99" i="86"/>
  <c r="C98" i="86"/>
  <c r="C97" i="86"/>
  <c r="C96" i="86"/>
  <c r="C95" i="86"/>
  <c r="C94" i="86"/>
  <c r="C93" i="86"/>
  <c r="C91" i="86"/>
  <c r="C90" i="86"/>
  <c r="C89" i="86"/>
  <c r="C88" i="86"/>
  <c r="C87" i="86"/>
  <c r="C86" i="86"/>
  <c r="C85" i="86"/>
  <c r="C83" i="86"/>
  <c r="C82" i="86"/>
  <c r="C81" i="86"/>
  <c r="C80" i="86"/>
  <c r="C79" i="86"/>
  <c r="C78" i="86"/>
  <c r="C77" i="86"/>
  <c r="C75" i="86"/>
  <c r="C74" i="86"/>
  <c r="C73" i="86"/>
  <c r="C72" i="86"/>
  <c r="C71" i="86"/>
  <c r="D70" i="86"/>
  <c r="B68" i="86"/>
  <c r="C65" i="86"/>
  <c r="C64" i="86"/>
  <c r="C62" i="86"/>
  <c r="C61" i="86"/>
  <c r="C60" i="86"/>
  <c r="C59" i="86"/>
  <c r="C58" i="86"/>
  <c r="C57" i="86"/>
  <c r="C56" i="86"/>
  <c r="C54" i="86"/>
  <c r="C53" i="86"/>
  <c r="C52" i="86"/>
  <c r="C51" i="86"/>
  <c r="C50" i="86"/>
  <c r="C49" i="86"/>
  <c r="C48" i="86"/>
  <c r="C46" i="86"/>
  <c r="C45" i="86"/>
  <c r="C44" i="86"/>
  <c r="C43" i="86"/>
  <c r="C42" i="86"/>
  <c r="C41" i="86"/>
  <c r="C40" i="86"/>
  <c r="D38" i="86"/>
  <c r="C36" i="86"/>
  <c r="C35" i="86"/>
  <c r="C34" i="86"/>
  <c r="C33" i="86"/>
  <c r="C32" i="86"/>
  <c r="C31" i="86"/>
  <c r="C29" i="86"/>
  <c r="C28" i="86"/>
  <c r="C27" i="86"/>
  <c r="C26" i="86"/>
  <c r="C25" i="86"/>
  <c r="C24" i="86"/>
  <c r="C23" i="86"/>
  <c r="D21" i="86"/>
  <c r="D18" i="86" s="1"/>
  <c r="D19" i="86" s="1"/>
  <c r="D17" i="86"/>
  <c r="D13" i="86"/>
  <c r="D80" i="87" l="1"/>
  <c r="D82" i="87" s="1"/>
  <c r="L80" i="87"/>
  <c r="L82" i="87" s="1"/>
  <c r="T80" i="87"/>
  <c r="T82" i="87" s="1"/>
  <c r="R80" i="87"/>
  <c r="R82" i="87" s="1"/>
  <c r="D145" i="89"/>
  <c r="D147" i="89" s="1"/>
  <c r="J54" i="89"/>
  <c r="F80" i="87"/>
  <c r="F82" i="87" s="1"/>
  <c r="N80" i="87"/>
  <c r="N82" i="87" s="1"/>
  <c r="J80" i="87"/>
  <c r="J82" i="87" s="1"/>
  <c r="C82" i="87"/>
  <c r="C5" i="86"/>
  <c r="W33" i="87"/>
  <c r="W4" i="87"/>
  <c r="C18" i="86"/>
  <c r="E18" i="86" s="1"/>
  <c r="H80" i="87"/>
  <c r="H82" i="87" s="1"/>
  <c r="P80" i="87"/>
  <c r="P82" i="87" s="1"/>
  <c r="C70" i="86"/>
  <c r="C147" i="89"/>
  <c r="J145" i="89"/>
  <c r="U78" i="87"/>
  <c r="C15" i="86" s="1"/>
  <c r="E15" i="86" s="1"/>
  <c r="J144" i="89"/>
  <c r="U60" i="87"/>
  <c r="C9" i="86" s="1"/>
  <c r="E9" i="86" s="1"/>
  <c r="U69" i="87" l="1"/>
  <c r="E5" i="86"/>
  <c r="E13" i="86" s="1"/>
  <c r="C13" i="86"/>
  <c r="C17" i="86" s="1"/>
  <c r="U80" i="87"/>
  <c r="J147" i="89"/>
  <c r="V80" i="87" l="1"/>
  <c r="U82" i="87"/>
  <c r="C19" i="86"/>
  <c r="E17" i="86"/>
  <c r="E19" i="86" s="1"/>
  <c r="J149" i="83" l="1"/>
  <c r="J146" i="83"/>
  <c r="I144" i="83"/>
  <c r="H144" i="83"/>
  <c r="G144" i="83"/>
  <c r="F144" i="83"/>
  <c r="J143" i="83"/>
  <c r="J142" i="83"/>
  <c r="J141" i="83"/>
  <c r="J140" i="83"/>
  <c r="D157" i="80" s="1"/>
  <c r="J139" i="83"/>
  <c r="D156" i="80" s="1"/>
  <c r="J138" i="83"/>
  <c r="D155" i="80" s="1"/>
  <c r="J137" i="83"/>
  <c r="J136" i="83"/>
  <c r="J135" i="83"/>
  <c r="J134" i="83"/>
  <c r="J133" i="83"/>
  <c r="J132" i="83"/>
  <c r="D149" i="80" s="1"/>
  <c r="J131" i="83"/>
  <c r="D148" i="80" s="1"/>
  <c r="J130" i="83"/>
  <c r="D147" i="80" s="1"/>
  <c r="I130" i="83"/>
  <c r="J129" i="83"/>
  <c r="J127" i="83"/>
  <c r="J126" i="83"/>
  <c r="J125" i="83"/>
  <c r="J124" i="83"/>
  <c r="D141" i="80" s="1"/>
  <c r="J123" i="83"/>
  <c r="D140" i="80" s="1"/>
  <c r="J122" i="83"/>
  <c r="D139" i="80" s="1"/>
  <c r="J121" i="83"/>
  <c r="I120" i="83"/>
  <c r="E120" i="83"/>
  <c r="C120" i="83"/>
  <c r="J120" i="83" s="1"/>
  <c r="D137" i="80" s="1"/>
  <c r="J119" i="83"/>
  <c r="D136" i="80" s="1"/>
  <c r="J118" i="83"/>
  <c r="D135" i="80" s="1"/>
  <c r="J117" i="83"/>
  <c r="J116" i="83"/>
  <c r="J115" i="83"/>
  <c r="J114" i="83"/>
  <c r="J113" i="83"/>
  <c r="J112" i="83"/>
  <c r="D129" i="80" s="1"/>
  <c r="J111" i="83"/>
  <c r="D128" i="80" s="1"/>
  <c r="J110" i="83"/>
  <c r="D127" i="80" s="1"/>
  <c r="J109" i="83"/>
  <c r="J108" i="83"/>
  <c r="J107" i="83"/>
  <c r="J106" i="83"/>
  <c r="J105" i="83"/>
  <c r="J104" i="83"/>
  <c r="D121" i="80" s="1"/>
  <c r="J103" i="83"/>
  <c r="D120" i="80" s="1"/>
  <c r="J102" i="83"/>
  <c r="D119" i="80" s="1"/>
  <c r="E100" i="83"/>
  <c r="E101" i="83" s="1"/>
  <c r="E144" i="83" s="1"/>
  <c r="D100" i="83"/>
  <c r="C100" i="83"/>
  <c r="J99" i="83"/>
  <c r="D116" i="80" s="1"/>
  <c r="J98" i="83"/>
  <c r="J97" i="83"/>
  <c r="J96" i="83"/>
  <c r="J95" i="83"/>
  <c r="J94" i="83"/>
  <c r="J93" i="83"/>
  <c r="J92" i="83"/>
  <c r="D109" i="80" s="1"/>
  <c r="J91" i="83"/>
  <c r="D108" i="80" s="1"/>
  <c r="J90" i="83"/>
  <c r="J89" i="83"/>
  <c r="J88" i="83"/>
  <c r="J87" i="83"/>
  <c r="J86" i="83"/>
  <c r="J85" i="83"/>
  <c r="J84" i="83"/>
  <c r="D101" i="80" s="1"/>
  <c r="J83" i="83"/>
  <c r="D100" i="80" s="1"/>
  <c r="J82" i="83"/>
  <c r="J81" i="83"/>
  <c r="J80" i="83"/>
  <c r="J79" i="83"/>
  <c r="J78" i="83"/>
  <c r="J77" i="83"/>
  <c r="J76" i="83"/>
  <c r="D93" i="80" s="1"/>
  <c r="J75" i="83"/>
  <c r="D92" i="80" s="1"/>
  <c r="J74" i="83"/>
  <c r="J73" i="83"/>
  <c r="J72" i="83"/>
  <c r="J71" i="83"/>
  <c r="J70" i="83"/>
  <c r="J69" i="83"/>
  <c r="J68" i="83"/>
  <c r="D85" i="80" s="1"/>
  <c r="J67" i="83"/>
  <c r="D84" i="80" s="1"/>
  <c r="J66" i="83"/>
  <c r="J65" i="83"/>
  <c r="J64" i="83"/>
  <c r="J63" i="83"/>
  <c r="J62" i="83"/>
  <c r="J61" i="83"/>
  <c r="J60" i="83"/>
  <c r="D77" i="80" s="1"/>
  <c r="J59" i="83"/>
  <c r="D76" i="80" s="1"/>
  <c r="J58" i="83"/>
  <c r="J57" i="83"/>
  <c r="J56" i="83"/>
  <c r="G54" i="83"/>
  <c r="G145" i="83" s="1"/>
  <c r="G147" i="83" s="1"/>
  <c r="F54" i="83"/>
  <c r="F145" i="83" s="1"/>
  <c r="F147" i="83" s="1"/>
  <c r="J53" i="83"/>
  <c r="J52" i="83"/>
  <c r="I51" i="83"/>
  <c r="I54" i="83" s="1"/>
  <c r="I145" i="83" s="1"/>
  <c r="I147" i="83" s="1"/>
  <c r="H51" i="83"/>
  <c r="H54" i="83" s="1"/>
  <c r="H145" i="83" s="1"/>
  <c r="H147" i="83" s="1"/>
  <c r="G51" i="83"/>
  <c r="F51" i="83"/>
  <c r="E51" i="83"/>
  <c r="E54" i="83" s="1"/>
  <c r="D51" i="83"/>
  <c r="D54" i="83" s="1"/>
  <c r="C51" i="83"/>
  <c r="C54" i="83" s="1"/>
  <c r="J50" i="83"/>
  <c r="J49" i="83"/>
  <c r="J48" i="83"/>
  <c r="J47" i="83"/>
  <c r="J46" i="83"/>
  <c r="J45" i="83"/>
  <c r="J44" i="83"/>
  <c r="J43" i="83"/>
  <c r="D61" i="80" s="1"/>
  <c r="J42" i="83"/>
  <c r="D60" i="80" s="1"/>
  <c r="J41" i="83"/>
  <c r="D59" i="80" s="1"/>
  <c r="J40" i="83"/>
  <c r="J39" i="83"/>
  <c r="J38" i="83"/>
  <c r="J37" i="83"/>
  <c r="J36" i="83"/>
  <c r="J35" i="83"/>
  <c r="D53" i="80" s="1"/>
  <c r="J34" i="83"/>
  <c r="D52" i="80" s="1"/>
  <c r="J33" i="83"/>
  <c r="D51" i="80" s="1"/>
  <c r="J32" i="83"/>
  <c r="D50" i="80" s="1"/>
  <c r="J31" i="83"/>
  <c r="J30" i="83"/>
  <c r="J29" i="83"/>
  <c r="J28" i="83"/>
  <c r="J27" i="83"/>
  <c r="D45" i="80" s="1"/>
  <c r="J26" i="83"/>
  <c r="D44" i="80" s="1"/>
  <c r="J25" i="83"/>
  <c r="D43" i="80" s="1"/>
  <c r="J24" i="83"/>
  <c r="D42" i="80" s="1"/>
  <c r="D38" i="80" s="1"/>
  <c r="J23" i="83"/>
  <c r="J22" i="83"/>
  <c r="J21" i="83"/>
  <c r="J20" i="83"/>
  <c r="J18" i="83"/>
  <c r="J17" i="83"/>
  <c r="D36" i="80" s="1"/>
  <c r="J16" i="83"/>
  <c r="D35" i="80" s="1"/>
  <c r="J15" i="83"/>
  <c r="D34" i="80" s="1"/>
  <c r="J14" i="83"/>
  <c r="J13" i="83"/>
  <c r="J12" i="83"/>
  <c r="J11" i="83"/>
  <c r="J10" i="83"/>
  <c r="J9" i="83"/>
  <c r="D28" i="80" s="1"/>
  <c r="J8" i="83"/>
  <c r="D27" i="80" s="1"/>
  <c r="J7" i="83"/>
  <c r="D26" i="80" s="1"/>
  <c r="D21" i="80" s="1"/>
  <c r="J6" i="83"/>
  <c r="J5" i="83"/>
  <c r="J4" i="83"/>
  <c r="J3" i="83"/>
  <c r="G85" i="82"/>
  <c r="C85" i="82"/>
  <c r="B149" i="83" s="1"/>
  <c r="J84" i="82"/>
  <c r="H83" i="82"/>
  <c r="G83" i="82"/>
  <c r="F83" i="82"/>
  <c r="E83" i="82"/>
  <c r="D83" i="82"/>
  <c r="K81" i="82"/>
  <c r="K80" i="82"/>
  <c r="K79" i="82"/>
  <c r="K78" i="82"/>
  <c r="J77" i="82"/>
  <c r="K77" i="82" s="1"/>
  <c r="K82" i="82" s="1"/>
  <c r="H75" i="82"/>
  <c r="J74" i="82"/>
  <c r="H72" i="82"/>
  <c r="D15" i="80" s="1"/>
  <c r="E15" i="80" s="1"/>
  <c r="G72" i="82"/>
  <c r="F72" i="82"/>
  <c r="E72" i="82"/>
  <c r="D72" i="82"/>
  <c r="K71" i="82"/>
  <c r="J70" i="82"/>
  <c r="K70" i="82" s="1"/>
  <c r="K69" i="82"/>
  <c r="K72" i="82" s="1"/>
  <c r="H68" i="82"/>
  <c r="G68" i="82"/>
  <c r="F68" i="82"/>
  <c r="E68" i="82"/>
  <c r="D68" i="82"/>
  <c r="K67" i="82"/>
  <c r="K66" i="82"/>
  <c r="K65" i="82"/>
  <c r="K64" i="82"/>
  <c r="K63" i="82"/>
  <c r="K62" i="82"/>
  <c r="K61" i="82"/>
  <c r="J60" i="82"/>
  <c r="K60" i="82" s="1"/>
  <c r="K68" i="82" s="1"/>
  <c r="M63" i="82" s="1"/>
  <c r="K59" i="82"/>
  <c r="H58" i="82"/>
  <c r="G58" i="82"/>
  <c r="F58" i="82"/>
  <c r="E58" i="82"/>
  <c r="D58" i="82"/>
  <c r="K57" i="82"/>
  <c r="K56" i="82"/>
  <c r="K55" i="82"/>
  <c r="K54" i="82"/>
  <c r="K53" i="82"/>
  <c r="K52" i="82"/>
  <c r="K51" i="82"/>
  <c r="K58" i="82" s="1"/>
  <c r="H49" i="82"/>
  <c r="G49" i="82"/>
  <c r="F49" i="82"/>
  <c r="E49" i="82"/>
  <c r="D49" i="82"/>
  <c r="K48" i="82"/>
  <c r="K47" i="82"/>
  <c r="K46" i="82"/>
  <c r="K45" i="82"/>
  <c r="K44" i="82"/>
  <c r="K43" i="82"/>
  <c r="K42" i="82"/>
  <c r="K41" i="82"/>
  <c r="K40" i="82"/>
  <c r="J39" i="82"/>
  <c r="K39" i="82" s="1"/>
  <c r="K49" i="82" s="1"/>
  <c r="M49" i="82" s="1"/>
  <c r="K38" i="82"/>
  <c r="K37" i="82"/>
  <c r="K36" i="82"/>
  <c r="K35" i="82"/>
  <c r="J33" i="82"/>
  <c r="H33" i="82"/>
  <c r="D5" i="80" s="1"/>
  <c r="G33" i="82"/>
  <c r="G75" i="82" s="1"/>
  <c r="F33" i="82"/>
  <c r="F75" i="82" s="1"/>
  <c r="E33" i="82"/>
  <c r="E75" i="82" s="1"/>
  <c r="D33" i="82"/>
  <c r="D75" i="82" s="1"/>
  <c r="K32" i="82"/>
  <c r="K31" i="82"/>
  <c r="K30" i="82"/>
  <c r="K29" i="82"/>
  <c r="K28" i="82"/>
  <c r="K27" i="82"/>
  <c r="K26" i="82"/>
  <c r="K25" i="82"/>
  <c r="K24" i="82"/>
  <c r="K23" i="82"/>
  <c r="K22" i="82"/>
  <c r="K21" i="82"/>
  <c r="K20" i="82"/>
  <c r="K19" i="82"/>
  <c r="K18" i="82"/>
  <c r="K17" i="82"/>
  <c r="K16" i="82"/>
  <c r="K15" i="82"/>
  <c r="K14" i="82"/>
  <c r="K13" i="82"/>
  <c r="K12" i="82"/>
  <c r="K11" i="82"/>
  <c r="K10" i="82"/>
  <c r="K9" i="82"/>
  <c r="J8" i="82"/>
  <c r="K8" i="82" s="1"/>
  <c r="K7" i="82"/>
  <c r="O223" i="81"/>
  <c r="C161" i="80" s="1"/>
  <c r="O222" i="81"/>
  <c r="C160" i="80" s="1"/>
  <c r="O221" i="81"/>
  <c r="O220" i="81"/>
  <c r="O219" i="81"/>
  <c r="O218" i="81"/>
  <c r="O217" i="81"/>
  <c r="O216" i="81"/>
  <c r="O215" i="81"/>
  <c r="C153" i="80" s="1"/>
  <c r="O214" i="81"/>
  <c r="C152" i="80" s="1"/>
  <c r="O213" i="81"/>
  <c r="O212" i="81"/>
  <c r="O211" i="81"/>
  <c r="O210" i="81"/>
  <c r="O209" i="81"/>
  <c r="O208" i="81"/>
  <c r="O207" i="81"/>
  <c r="C145" i="80" s="1"/>
  <c r="O206" i="81"/>
  <c r="C144" i="80" s="1"/>
  <c r="O205" i="81"/>
  <c r="O204" i="81"/>
  <c r="O203" i="81"/>
  <c r="O202" i="81"/>
  <c r="O201" i="81"/>
  <c r="O200" i="81"/>
  <c r="O199" i="81"/>
  <c r="C137" i="80" s="1"/>
  <c r="O198" i="81"/>
  <c r="C136" i="80" s="1"/>
  <c r="O197" i="81"/>
  <c r="O196" i="81"/>
  <c r="O195" i="81"/>
  <c r="O194" i="81"/>
  <c r="O193" i="81"/>
  <c r="O192" i="81"/>
  <c r="O191" i="81"/>
  <c r="C129" i="80" s="1"/>
  <c r="O190" i="81"/>
  <c r="C128" i="80" s="1"/>
  <c r="O189" i="81"/>
  <c r="O188" i="81"/>
  <c r="O187" i="81"/>
  <c r="O186" i="81"/>
  <c r="O185" i="81"/>
  <c r="O184" i="81"/>
  <c r="O183" i="81"/>
  <c r="C121" i="80" s="1"/>
  <c r="O182" i="81"/>
  <c r="C120" i="80" s="1"/>
  <c r="O181" i="81"/>
  <c r="O180" i="81"/>
  <c r="O179" i="81"/>
  <c r="O178" i="81"/>
  <c r="O177" i="81"/>
  <c r="O176" i="81"/>
  <c r="O175" i="81"/>
  <c r="C113" i="80" s="1"/>
  <c r="O174" i="81"/>
  <c r="C112" i="80" s="1"/>
  <c r="O173" i="81"/>
  <c r="O172" i="81"/>
  <c r="O171" i="81"/>
  <c r="O170" i="81"/>
  <c r="O169" i="81"/>
  <c r="O168" i="81"/>
  <c r="O167" i="81"/>
  <c r="C105" i="80" s="1"/>
  <c r="O166" i="81"/>
  <c r="C104" i="80" s="1"/>
  <c r="O165" i="81"/>
  <c r="O164" i="81"/>
  <c r="O163" i="81"/>
  <c r="O162" i="81"/>
  <c r="O161" i="81"/>
  <c r="O160" i="81"/>
  <c r="O159" i="81"/>
  <c r="C97" i="80" s="1"/>
  <c r="O158" i="81"/>
  <c r="C96" i="80" s="1"/>
  <c r="O157" i="81"/>
  <c r="O156" i="81"/>
  <c r="O155" i="81"/>
  <c r="O154" i="81"/>
  <c r="O153" i="81"/>
  <c r="O152" i="81"/>
  <c r="O151" i="81"/>
  <c r="C89" i="80" s="1"/>
  <c r="O150" i="81"/>
  <c r="C88" i="80" s="1"/>
  <c r="O149" i="81"/>
  <c r="O148" i="81"/>
  <c r="O147" i="81"/>
  <c r="O146" i="81"/>
  <c r="O145" i="81"/>
  <c r="O144" i="81"/>
  <c r="O143" i="81"/>
  <c r="C81" i="80" s="1"/>
  <c r="O142" i="81"/>
  <c r="C80" i="80" s="1"/>
  <c r="O141" i="81"/>
  <c r="O140" i="81"/>
  <c r="O139" i="81"/>
  <c r="O138" i="81"/>
  <c r="O137" i="81"/>
  <c r="O136" i="81"/>
  <c r="O135" i="81"/>
  <c r="C73" i="80" s="1"/>
  <c r="C72" i="80" s="1"/>
  <c r="O132" i="81"/>
  <c r="C65" i="80" s="1"/>
  <c r="O131" i="81"/>
  <c r="O130" i="81"/>
  <c r="O129" i="81"/>
  <c r="O128" i="81"/>
  <c r="O127" i="81"/>
  <c r="C60" i="80" s="1"/>
  <c r="O126" i="81"/>
  <c r="O125" i="81"/>
  <c r="O124" i="81"/>
  <c r="C57" i="80" s="1"/>
  <c r="O123" i="81"/>
  <c r="O122" i="81"/>
  <c r="O121" i="81"/>
  <c r="O120" i="81"/>
  <c r="O119" i="81"/>
  <c r="C52" i="80" s="1"/>
  <c r="O118" i="81"/>
  <c r="O117" i="81"/>
  <c r="O116" i="81"/>
  <c r="C49" i="80" s="1"/>
  <c r="O115" i="81"/>
  <c r="O114" i="81"/>
  <c r="O113" i="81"/>
  <c r="O112" i="81"/>
  <c r="O111" i="81"/>
  <c r="C44" i="80" s="1"/>
  <c r="O110" i="81"/>
  <c r="O109" i="81"/>
  <c r="O108" i="81"/>
  <c r="C41" i="80" s="1"/>
  <c r="O107" i="81"/>
  <c r="O106" i="81"/>
  <c r="O105" i="81"/>
  <c r="O104" i="81"/>
  <c r="O103" i="81"/>
  <c r="C36" i="80" s="1"/>
  <c r="O102" i="81"/>
  <c r="C35" i="80" s="1"/>
  <c r="O101" i="81"/>
  <c r="C34" i="80" s="1"/>
  <c r="O100" i="81"/>
  <c r="O99" i="81"/>
  <c r="O98" i="81"/>
  <c r="O97" i="81"/>
  <c r="O96" i="81"/>
  <c r="O95" i="81"/>
  <c r="O94" i="81"/>
  <c r="C28" i="80" s="1"/>
  <c r="O93" i="81"/>
  <c r="C27" i="80" s="1"/>
  <c r="O92" i="81"/>
  <c r="C26" i="80" s="1"/>
  <c r="O91" i="81"/>
  <c r="O90" i="81"/>
  <c r="O89" i="81"/>
  <c r="O88" i="81"/>
  <c r="N84" i="81"/>
  <c r="M84" i="81"/>
  <c r="L84" i="81"/>
  <c r="K84" i="81"/>
  <c r="J84" i="81"/>
  <c r="I84" i="81"/>
  <c r="H84" i="81"/>
  <c r="G84" i="81"/>
  <c r="F84" i="81"/>
  <c r="E84" i="81"/>
  <c r="D84" i="81"/>
  <c r="C84" i="81"/>
  <c r="O84" i="81" s="1"/>
  <c r="N81" i="81"/>
  <c r="M81" i="81"/>
  <c r="M83" i="81" s="1"/>
  <c r="M85" i="81" s="1"/>
  <c r="L81" i="81"/>
  <c r="K81" i="81"/>
  <c r="J81" i="81"/>
  <c r="I81" i="81"/>
  <c r="H81" i="81"/>
  <c r="G81" i="81"/>
  <c r="F81" i="81"/>
  <c r="E81" i="81"/>
  <c r="E83" i="81" s="1"/>
  <c r="E85" i="81" s="1"/>
  <c r="D81" i="81"/>
  <c r="O81" i="81" s="1"/>
  <c r="C15" i="80" s="1"/>
  <c r="C81" i="81"/>
  <c r="P79" i="81"/>
  <c r="O79" i="81"/>
  <c r="P78" i="81"/>
  <c r="O78" i="81"/>
  <c r="P77" i="81"/>
  <c r="O77" i="81"/>
  <c r="P76" i="81"/>
  <c r="O76" i="81"/>
  <c r="P75" i="81"/>
  <c r="O75" i="81"/>
  <c r="P74" i="81"/>
  <c r="O74" i="81"/>
  <c r="M72" i="81"/>
  <c r="E72" i="81"/>
  <c r="N70" i="81"/>
  <c r="M70" i="81"/>
  <c r="L70" i="81"/>
  <c r="L72" i="81" s="1"/>
  <c r="K70" i="81"/>
  <c r="K72" i="81" s="1"/>
  <c r="K83" i="81" s="1"/>
  <c r="K85" i="81" s="1"/>
  <c r="J70" i="81"/>
  <c r="J72" i="81" s="1"/>
  <c r="J83" i="81" s="1"/>
  <c r="J85" i="81" s="1"/>
  <c r="I70" i="81"/>
  <c r="I72" i="81" s="1"/>
  <c r="I83" i="81" s="1"/>
  <c r="I85" i="81" s="1"/>
  <c r="H70" i="81"/>
  <c r="G70" i="81"/>
  <c r="F70" i="81"/>
  <c r="E70" i="81"/>
  <c r="D70" i="81"/>
  <c r="D72" i="81" s="1"/>
  <c r="C70" i="81"/>
  <c r="C72" i="81" s="1"/>
  <c r="C83" i="81" s="1"/>
  <c r="P68" i="81"/>
  <c r="P67" i="81"/>
  <c r="P66" i="81"/>
  <c r="P65" i="81"/>
  <c r="N63" i="81"/>
  <c r="M63" i="81"/>
  <c r="L63" i="81"/>
  <c r="K63" i="81"/>
  <c r="J63" i="81"/>
  <c r="I63" i="81"/>
  <c r="H63" i="81"/>
  <c r="G63" i="81"/>
  <c r="F63" i="81"/>
  <c r="E63" i="81"/>
  <c r="D63" i="81"/>
  <c r="C63" i="81"/>
  <c r="O63" i="81" s="1"/>
  <c r="C9" i="80" s="1"/>
  <c r="E9" i="80" s="1"/>
  <c r="P61" i="81"/>
  <c r="O61" i="81"/>
  <c r="P60" i="81"/>
  <c r="O60" i="81"/>
  <c r="P59" i="81"/>
  <c r="O59" i="81"/>
  <c r="P58" i="81"/>
  <c r="O58" i="81"/>
  <c r="P57" i="81"/>
  <c r="O57" i="81"/>
  <c r="P56" i="81"/>
  <c r="O56" i="81"/>
  <c r="P55" i="81"/>
  <c r="O55" i="81"/>
  <c r="P54" i="81"/>
  <c r="O54" i="81"/>
  <c r="P53" i="81"/>
  <c r="O53" i="81"/>
  <c r="P52" i="81"/>
  <c r="O52" i="81"/>
  <c r="P51" i="81"/>
  <c r="O51" i="81"/>
  <c r="N49" i="81"/>
  <c r="N72" i="81" s="1"/>
  <c r="M49" i="81"/>
  <c r="L49" i="81"/>
  <c r="K49" i="81"/>
  <c r="J49" i="81"/>
  <c r="I49" i="81"/>
  <c r="H49" i="81"/>
  <c r="H72" i="81" s="1"/>
  <c r="H83" i="81" s="1"/>
  <c r="H85" i="81" s="1"/>
  <c r="G49" i="81"/>
  <c r="G72" i="81" s="1"/>
  <c r="G83" i="81" s="1"/>
  <c r="G85" i="81" s="1"/>
  <c r="F49" i="81"/>
  <c r="F72" i="81" s="1"/>
  <c r="E49" i="81"/>
  <c r="D49" i="81"/>
  <c r="C49" i="81"/>
  <c r="P47" i="81"/>
  <c r="O47" i="81"/>
  <c r="P46" i="81"/>
  <c r="O46" i="81"/>
  <c r="P45" i="81"/>
  <c r="O45" i="81"/>
  <c r="P44" i="81"/>
  <c r="O44" i="81"/>
  <c r="P43" i="81"/>
  <c r="O43" i="81"/>
  <c r="P42" i="81"/>
  <c r="O42" i="81"/>
  <c r="P41" i="81"/>
  <c r="O41" i="81"/>
  <c r="P40" i="81"/>
  <c r="O40" i="81"/>
  <c r="P39" i="81"/>
  <c r="O39" i="81"/>
  <c r="P38" i="81"/>
  <c r="O38" i="81"/>
  <c r="N36" i="81"/>
  <c r="M36" i="81"/>
  <c r="L36" i="81"/>
  <c r="K36" i="81"/>
  <c r="J36" i="81"/>
  <c r="I36" i="81"/>
  <c r="H36" i="81"/>
  <c r="G36" i="81"/>
  <c r="O36" i="81" s="1"/>
  <c r="F36" i="81"/>
  <c r="E36" i="81"/>
  <c r="D36" i="81"/>
  <c r="C36" i="81"/>
  <c r="P34" i="81"/>
  <c r="O34" i="81"/>
  <c r="P33" i="81"/>
  <c r="O33" i="81"/>
  <c r="P32" i="81"/>
  <c r="O32" i="81"/>
  <c r="P31" i="81"/>
  <c r="O31" i="81"/>
  <c r="P30" i="81"/>
  <c r="O30" i="81"/>
  <c r="P29" i="81"/>
  <c r="O29" i="81"/>
  <c r="P28" i="81"/>
  <c r="O28" i="81"/>
  <c r="P27" i="81"/>
  <c r="O27" i="81"/>
  <c r="P26" i="81"/>
  <c r="O26" i="81"/>
  <c r="P25" i="81"/>
  <c r="O25" i="81"/>
  <c r="P24" i="81"/>
  <c r="O24" i="81"/>
  <c r="P23" i="81"/>
  <c r="O23" i="81"/>
  <c r="P22" i="81"/>
  <c r="O22" i="81"/>
  <c r="P21" i="81"/>
  <c r="O21" i="81"/>
  <c r="P20" i="81"/>
  <c r="O20" i="81"/>
  <c r="P19" i="81"/>
  <c r="O19" i="81"/>
  <c r="P18" i="81"/>
  <c r="O18" i="81"/>
  <c r="P17" i="81"/>
  <c r="O17" i="81"/>
  <c r="P16" i="81"/>
  <c r="O16" i="81"/>
  <c r="P15" i="81"/>
  <c r="O15" i="81"/>
  <c r="P14" i="81"/>
  <c r="O14" i="81"/>
  <c r="P13" i="81"/>
  <c r="O13" i="81"/>
  <c r="P12" i="81"/>
  <c r="Q12" i="81" s="1"/>
  <c r="O12" i="81"/>
  <c r="P11" i="81"/>
  <c r="Q11" i="81" s="1"/>
  <c r="O11" i="81"/>
  <c r="P10" i="81"/>
  <c r="Q10" i="81" s="1"/>
  <c r="O10" i="81"/>
  <c r="Q9" i="81"/>
  <c r="P9" i="81"/>
  <c r="O9" i="81"/>
  <c r="P8" i="81"/>
  <c r="O8" i="81"/>
  <c r="P7" i="81"/>
  <c r="Q7" i="81" s="1"/>
  <c r="O7" i="81"/>
  <c r="Q6" i="81"/>
  <c r="P6" i="81"/>
  <c r="O6" i="81"/>
  <c r="P5" i="81"/>
  <c r="Q5" i="81" s="1"/>
  <c r="O5" i="81"/>
  <c r="C162" i="80"/>
  <c r="D160" i="80"/>
  <c r="D159" i="80"/>
  <c r="C159" i="80"/>
  <c r="D158" i="80"/>
  <c r="C158" i="80"/>
  <c r="C157" i="80"/>
  <c r="C156" i="80"/>
  <c r="C155" i="80"/>
  <c r="D154" i="80"/>
  <c r="C154" i="80"/>
  <c r="D153" i="80"/>
  <c r="D152" i="80"/>
  <c r="D151" i="80"/>
  <c r="C151" i="80"/>
  <c r="D150" i="80"/>
  <c r="C150" i="80"/>
  <c r="C149" i="80"/>
  <c r="C148" i="80"/>
  <c r="C147" i="80"/>
  <c r="D146" i="80"/>
  <c r="C146" i="80"/>
  <c r="D145" i="80"/>
  <c r="D144" i="80"/>
  <c r="D143" i="80"/>
  <c r="C143" i="80"/>
  <c r="D142" i="80"/>
  <c r="C142" i="80"/>
  <c r="C141" i="80"/>
  <c r="C140" i="80"/>
  <c r="C139" i="80"/>
  <c r="D138" i="80"/>
  <c r="C138" i="80"/>
  <c r="C135" i="80"/>
  <c r="D134" i="80"/>
  <c r="C134" i="80"/>
  <c r="D133" i="80"/>
  <c r="C133" i="80"/>
  <c r="D132" i="80"/>
  <c r="C132" i="80"/>
  <c r="D131" i="80"/>
  <c r="C131" i="80"/>
  <c r="D130" i="80"/>
  <c r="C130" i="80"/>
  <c r="C127" i="80"/>
  <c r="D126" i="80"/>
  <c r="C126" i="80"/>
  <c r="D125" i="80"/>
  <c r="C125" i="80"/>
  <c r="D124" i="80"/>
  <c r="C124" i="80"/>
  <c r="D123" i="80"/>
  <c r="C123" i="80"/>
  <c r="D122" i="80"/>
  <c r="C122" i="80"/>
  <c r="C119" i="80"/>
  <c r="C118" i="80"/>
  <c r="C117" i="80"/>
  <c r="C116" i="80"/>
  <c r="D115" i="80"/>
  <c r="C115" i="80"/>
  <c r="D114" i="80"/>
  <c r="C114" i="80"/>
  <c r="D113" i="80"/>
  <c r="D112" i="80"/>
  <c r="D111" i="80"/>
  <c r="C111" i="80"/>
  <c r="D110" i="80"/>
  <c r="C110" i="80"/>
  <c r="C109" i="80"/>
  <c r="C108" i="80"/>
  <c r="D107" i="80"/>
  <c r="C107" i="80"/>
  <c r="D106" i="80"/>
  <c r="C106" i="80"/>
  <c r="D105" i="80"/>
  <c r="D104" i="80"/>
  <c r="D103" i="80"/>
  <c r="C103" i="80"/>
  <c r="D102" i="80"/>
  <c r="C102" i="80"/>
  <c r="C101" i="80"/>
  <c r="C100" i="80"/>
  <c r="D99" i="80"/>
  <c r="C99" i="80"/>
  <c r="D98" i="80"/>
  <c r="C98" i="80"/>
  <c r="D97" i="80"/>
  <c r="D96" i="80"/>
  <c r="D95" i="80"/>
  <c r="C95" i="80"/>
  <c r="D94" i="80"/>
  <c r="C94" i="80"/>
  <c r="C93" i="80"/>
  <c r="C92" i="80"/>
  <c r="D91" i="80"/>
  <c r="C91" i="80"/>
  <c r="D90" i="80"/>
  <c r="C90" i="80"/>
  <c r="D89" i="80"/>
  <c r="D88" i="80"/>
  <c r="D87" i="80"/>
  <c r="C87" i="80"/>
  <c r="D86" i="80"/>
  <c r="C86" i="80"/>
  <c r="C85" i="80"/>
  <c r="C84" i="80"/>
  <c r="D83" i="80"/>
  <c r="C83" i="80"/>
  <c r="D82" i="80"/>
  <c r="C82" i="80"/>
  <c r="D81" i="80"/>
  <c r="D80" i="80"/>
  <c r="D79" i="80"/>
  <c r="C79" i="80"/>
  <c r="D78" i="80"/>
  <c r="C78" i="80"/>
  <c r="C77" i="80"/>
  <c r="C76" i="80"/>
  <c r="D75" i="80"/>
  <c r="C75" i="80"/>
  <c r="D74" i="80"/>
  <c r="C74" i="80"/>
  <c r="D73" i="80"/>
  <c r="D70" i="80"/>
  <c r="D68" i="80"/>
  <c r="D67" i="80"/>
  <c r="D66" i="80"/>
  <c r="D65" i="80"/>
  <c r="D64" i="80"/>
  <c r="C64" i="80"/>
  <c r="D63" i="80"/>
  <c r="C63" i="80"/>
  <c r="D62" i="80"/>
  <c r="C62" i="80"/>
  <c r="C61" i="80"/>
  <c r="C59" i="80"/>
  <c r="D58" i="80"/>
  <c r="C58" i="80"/>
  <c r="D57" i="80"/>
  <c r="D56" i="80"/>
  <c r="C56" i="80"/>
  <c r="D55" i="80"/>
  <c r="C55" i="80"/>
  <c r="D54" i="80"/>
  <c r="C54" i="80"/>
  <c r="C53" i="80"/>
  <c r="C51" i="80"/>
  <c r="C50" i="80"/>
  <c r="D49" i="80"/>
  <c r="D48" i="80"/>
  <c r="C48" i="80"/>
  <c r="D47" i="80"/>
  <c r="C47" i="80"/>
  <c r="D46" i="80"/>
  <c r="C46" i="80"/>
  <c r="C45" i="80"/>
  <c r="C43" i="80"/>
  <c r="C42" i="80"/>
  <c r="D41" i="80"/>
  <c r="D40" i="80"/>
  <c r="C40" i="80"/>
  <c r="D39" i="80"/>
  <c r="C39" i="80"/>
  <c r="D33" i="80"/>
  <c r="C33" i="80"/>
  <c r="D32" i="80"/>
  <c r="C32" i="80"/>
  <c r="D31" i="80"/>
  <c r="C31" i="80"/>
  <c r="D30" i="80"/>
  <c r="C30" i="80"/>
  <c r="D29" i="80"/>
  <c r="C29" i="80"/>
  <c r="D25" i="80"/>
  <c r="C25" i="80"/>
  <c r="D24" i="80"/>
  <c r="C24" i="80"/>
  <c r="D23" i="80"/>
  <c r="C23" i="80"/>
  <c r="D22" i="80"/>
  <c r="C22" i="80"/>
  <c r="D11" i="80"/>
  <c r="D9" i="80"/>
  <c r="D7" i="80"/>
  <c r="Q4" i="81" l="1"/>
  <c r="C5" i="80"/>
  <c r="C144" i="83"/>
  <c r="C85" i="81"/>
  <c r="O83" i="81"/>
  <c r="L83" i="81"/>
  <c r="L85" i="81" s="1"/>
  <c r="J54" i="83"/>
  <c r="F83" i="81"/>
  <c r="F85" i="81" s="1"/>
  <c r="N83" i="81"/>
  <c r="N85" i="81" s="1"/>
  <c r="E145" i="83"/>
  <c r="E147" i="83" s="1"/>
  <c r="C21" i="80"/>
  <c r="C18" i="80" s="1"/>
  <c r="C38" i="80"/>
  <c r="D13" i="80"/>
  <c r="J100" i="83"/>
  <c r="D117" i="80" s="1"/>
  <c r="J86" i="82"/>
  <c r="K33" i="82"/>
  <c r="K75" i="82" s="1"/>
  <c r="O70" i="81"/>
  <c r="C11" i="80" s="1"/>
  <c r="E11" i="80" s="1"/>
  <c r="D83" i="81"/>
  <c r="D85" i="81" s="1"/>
  <c r="C101" i="83"/>
  <c r="J49" i="82"/>
  <c r="O49" i="81"/>
  <c r="C7" i="80" s="1"/>
  <c r="E7" i="80" s="1"/>
  <c r="J51" i="83"/>
  <c r="D101" i="83"/>
  <c r="D144" i="83" s="1"/>
  <c r="D145" i="83" s="1"/>
  <c r="D147" i="83" s="1"/>
  <c r="J144" i="83" l="1"/>
  <c r="C13" i="80"/>
  <c r="C17" i="80" s="1"/>
  <c r="C19" i="80" s="1"/>
  <c r="E5" i="80"/>
  <c r="O72" i="81"/>
  <c r="D17" i="80"/>
  <c r="E13" i="80"/>
  <c r="J101" i="83"/>
  <c r="D118" i="80" s="1"/>
  <c r="D72" i="80" s="1"/>
  <c r="D18" i="80" s="1"/>
  <c r="E18" i="80" s="1"/>
  <c r="P83" i="81"/>
  <c r="O85" i="81"/>
  <c r="C145" i="83"/>
  <c r="K84" i="82"/>
  <c r="K89" i="82"/>
  <c r="E17" i="80" l="1"/>
  <c r="D19" i="80"/>
  <c r="E19" i="80" s="1"/>
  <c r="C147" i="83"/>
  <c r="J147" i="83" s="1"/>
  <c r="J145" i="83"/>
  <c r="J150" i="78" l="1"/>
  <c r="B149" i="78"/>
  <c r="H144" i="78"/>
  <c r="G144" i="78"/>
  <c r="G145" i="78" s="1"/>
  <c r="G147" i="78" s="1"/>
  <c r="F144" i="78"/>
  <c r="J143" i="78"/>
  <c r="J142" i="78"/>
  <c r="J141" i="78"/>
  <c r="D160" i="75" s="1"/>
  <c r="J140" i="78"/>
  <c r="J139" i="78"/>
  <c r="J138" i="78"/>
  <c r="J137" i="78"/>
  <c r="J136" i="78"/>
  <c r="J135" i="78"/>
  <c r="J134" i="78"/>
  <c r="J133" i="78"/>
  <c r="D152" i="75" s="1"/>
  <c r="J132" i="78"/>
  <c r="J131" i="78"/>
  <c r="J130" i="78"/>
  <c r="J129" i="78"/>
  <c r="I129" i="78"/>
  <c r="J127" i="78"/>
  <c r="J126" i="78"/>
  <c r="J125" i="78"/>
  <c r="J124" i="78"/>
  <c r="J123" i="78"/>
  <c r="J122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7" i="78"/>
  <c r="J106" i="78"/>
  <c r="J105" i="78"/>
  <c r="C104" i="78"/>
  <c r="J103" i="78"/>
  <c r="D121" i="75" s="1"/>
  <c r="J102" i="78"/>
  <c r="J101" i="78"/>
  <c r="J100" i="78"/>
  <c r="J99" i="78"/>
  <c r="J98" i="78"/>
  <c r="J97" i="78"/>
  <c r="J96" i="78"/>
  <c r="J95" i="78"/>
  <c r="D113" i="75" s="1"/>
  <c r="J94" i="78"/>
  <c r="J93" i="78"/>
  <c r="J92" i="78"/>
  <c r="I92" i="78"/>
  <c r="H92" i="78"/>
  <c r="J91" i="78"/>
  <c r="J90" i="78"/>
  <c r="J89" i="78"/>
  <c r="J88" i="78"/>
  <c r="J87" i="78"/>
  <c r="J86" i="78"/>
  <c r="J85" i="78"/>
  <c r="J84" i="78"/>
  <c r="J83" i="78"/>
  <c r="J82" i="78"/>
  <c r="J81" i="78"/>
  <c r="J80" i="78"/>
  <c r="J79" i="78"/>
  <c r="J78" i="78"/>
  <c r="I77" i="78"/>
  <c r="J77" i="78" s="1"/>
  <c r="D95" i="75" s="1"/>
  <c r="I76" i="78"/>
  <c r="J76" i="78" s="1"/>
  <c r="D94" i="75" s="1"/>
  <c r="J75" i="78"/>
  <c r="D93" i="75" s="1"/>
  <c r="I75" i="78"/>
  <c r="I74" i="78"/>
  <c r="J74" i="78" s="1"/>
  <c r="D92" i="75" s="1"/>
  <c r="I73" i="78"/>
  <c r="J73" i="78" s="1"/>
  <c r="D91" i="75" s="1"/>
  <c r="I72" i="78"/>
  <c r="J72" i="78" s="1"/>
  <c r="D90" i="75" s="1"/>
  <c r="J71" i="78"/>
  <c r="D89" i="75" s="1"/>
  <c r="I71" i="78"/>
  <c r="I144" i="78" s="1"/>
  <c r="J70" i="78"/>
  <c r="C69" i="78"/>
  <c r="D69" i="78" s="1"/>
  <c r="J68" i="78"/>
  <c r="J67" i="78"/>
  <c r="J66" i="78"/>
  <c r="D84" i="75" s="1"/>
  <c r="J65" i="78"/>
  <c r="J64" i="78"/>
  <c r="J63" i="78"/>
  <c r="I63" i="78"/>
  <c r="J62" i="78"/>
  <c r="J61" i="78"/>
  <c r="J60" i="78"/>
  <c r="J59" i="78"/>
  <c r="D77" i="75" s="1"/>
  <c r="J58" i="78"/>
  <c r="J57" i="78"/>
  <c r="J56" i="78"/>
  <c r="G54" i="78"/>
  <c r="F54" i="78"/>
  <c r="F145" i="78" s="1"/>
  <c r="I53" i="78"/>
  <c r="J53" i="78" s="1"/>
  <c r="D71" i="75" s="1"/>
  <c r="I52" i="78"/>
  <c r="J52" i="78" s="1"/>
  <c r="D70" i="75" s="1"/>
  <c r="D69" i="75" s="1"/>
  <c r="I51" i="78"/>
  <c r="I54" i="78" s="1"/>
  <c r="I145" i="78" s="1"/>
  <c r="I147" i="78" s="1"/>
  <c r="H51" i="78"/>
  <c r="H54" i="78" s="1"/>
  <c r="H145" i="78" s="1"/>
  <c r="H147" i="78" s="1"/>
  <c r="G51" i="78"/>
  <c r="F51" i="78"/>
  <c r="J50" i="78"/>
  <c r="J49" i="78"/>
  <c r="J48" i="78"/>
  <c r="J47" i="78"/>
  <c r="H47" i="78"/>
  <c r="J46" i="78"/>
  <c r="J45" i="78"/>
  <c r="J44" i="78"/>
  <c r="J43" i="78"/>
  <c r="D63" i="75" s="1"/>
  <c r="J42" i="78"/>
  <c r="J41" i="78"/>
  <c r="J40" i="78"/>
  <c r="J39" i="78"/>
  <c r="J38" i="78"/>
  <c r="J37" i="78"/>
  <c r="J36" i="78"/>
  <c r="J35" i="78"/>
  <c r="D55" i="75" s="1"/>
  <c r="J34" i="78"/>
  <c r="J33" i="78"/>
  <c r="J32" i="78"/>
  <c r="J31" i="78"/>
  <c r="J30" i="78"/>
  <c r="J29" i="78"/>
  <c r="J28" i="78"/>
  <c r="J27" i="78"/>
  <c r="D47" i="75" s="1"/>
  <c r="E27" i="78"/>
  <c r="C27" i="78"/>
  <c r="J26" i="78"/>
  <c r="E26" i="78"/>
  <c r="C26" i="78"/>
  <c r="C25" i="78"/>
  <c r="J24" i="78"/>
  <c r="E24" i="78"/>
  <c r="C24" i="78"/>
  <c r="C23" i="78"/>
  <c r="E22" i="78"/>
  <c r="C22" i="78"/>
  <c r="J22" i="78" s="1"/>
  <c r="D42" i="75" s="1"/>
  <c r="J21" i="78"/>
  <c r="E21" i="78"/>
  <c r="C21" i="78"/>
  <c r="J20" i="78"/>
  <c r="J18" i="78"/>
  <c r="D17" i="78"/>
  <c r="C17" i="78" s="1"/>
  <c r="D16" i="78"/>
  <c r="C16" i="78" s="1"/>
  <c r="J16" i="78" s="1"/>
  <c r="D36" i="75" s="1"/>
  <c r="J15" i="78"/>
  <c r="J14" i="78"/>
  <c r="J13" i="78"/>
  <c r="D33" i="75" s="1"/>
  <c r="J12" i="78"/>
  <c r="E12" i="78"/>
  <c r="J11" i="78"/>
  <c r="D10" i="78"/>
  <c r="C10" i="78"/>
  <c r="J9" i="78"/>
  <c r="D28" i="75" s="1"/>
  <c r="D8" i="78"/>
  <c r="C8" i="78" s="1"/>
  <c r="J7" i="78"/>
  <c r="D6" i="78"/>
  <c r="C6" i="78" s="1"/>
  <c r="J5" i="78"/>
  <c r="J4" i="78"/>
  <c r="C3" i="78"/>
  <c r="H104" i="77"/>
  <c r="H93" i="77"/>
  <c r="G85" i="77"/>
  <c r="C85" i="77"/>
  <c r="H83" i="77"/>
  <c r="G83" i="77"/>
  <c r="F83" i="77"/>
  <c r="E83" i="77"/>
  <c r="D83" i="77"/>
  <c r="G76" i="77"/>
  <c r="E76" i="77"/>
  <c r="H75" i="77"/>
  <c r="G73" i="77"/>
  <c r="F73" i="77"/>
  <c r="E73" i="77"/>
  <c r="D73" i="77"/>
  <c r="H72" i="77"/>
  <c r="H73" i="77" s="1"/>
  <c r="D15" i="75" s="1"/>
  <c r="H69" i="77"/>
  <c r="G69" i="77"/>
  <c r="F69" i="77"/>
  <c r="E69" i="77"/>
  <c r="D69" i="77"/>
  <c r="H59" i="77"/>
  <c r="G59" i="77"/>
  <c r="F59" i="77"/>
  <c r="D9" i="75" s="1"/>
  <c r="E9" i="75" s="1"/>
  <c r="E59" i="77"/>
  <c r="D59" i="77"/>
  <c r="H52" i="77"/>
  <c r="G49" i="77"/>
  <c r="F49" i="77"/>
  <c r="F76" i="77" s="1"/>
  <c r="H106" i="77" s="1"/>
  <c r="H107" i="77" s="1"/>
  <c r="E49" i="77"/>
  <c r="D49" i="77"/>
  <c r="H34" i="77"/>
  <c r="H49" i="77" s="1"/>
  <c r="D7" i="75" s="1"/>
  <c r="E7" i="75" s="1"/>
  <c r="G33" i="77"/>
  <c r="F33" i="77"/>
  <c r="E33" i="77"/>
  <c r="D33" i="77"/>
  <c r="D76" i="77" s="1"/>
  <c r="H28" i="77"/>
  <c r="H18" i="77"/>
  <c r="H33" i="77" s="1"/>
  <c r="W233" i="76"/>
  <c r="W232" i="76"/>
  <c r="W231" i="76"/>
  <c r="W230" i="76"/>
  <c r="W229" i="76"/>
  <c r="W228" i="76"/>
  <c r="W227" i="76"/>
  <c r="W226" i="76"/>
  <c r="C156" i="75" s="1"/>
  <c r="W225" i="76"/>
  <c r="W224" i="76"/>
  <c r="W223" i="76"/>
  <c r="W222" i="76"/>
  <c r="W221" i="76"/>
  <c r="W220" i="76"/>
  <c r="W219" i="76"/>
  <c r="W218" i="76"/>
  <c r="C148" i="75" s="1"/>
  <c r="W217" i="76"/>
  <c r="W216" i="76"/>
  <c r="W215" i="76"/>
  <c r="W214" i="76"/>
  <c r="W213" i="76"/>
  <c r="W212" i="76"/>
  <c r="W211" i="76"/>
  <c r="W210" i="76"/>
  <c r="C139" i="75" s="1"/>
  <c r="W209" i="76"/>
  <c r="W208" i="76"/>
  <c r="W207" i="76"/>
  <c r="W206" i="76"/>
  <c r="W205" i="76"/>
  <c r="W204" i="76"/>
  <c r="W203" i="76"/>
  <c r="W202" i="76"/>
  <c r="C132" i="75" s="1"/>
  <c r="W201" i="76"/>
  <c r="W200" i="76"/>
  <c r="W199" i="76"/>
  <c r="W198" i="76"/>
  <c r="W197" i="76"/>
  <c r="W196" i="76"/>
  <c r="W195" i="76"/>
  <c r="W194" i="76"/>
  <c r="C124" i="75" s="1"/>
  <c r="W193" i="76"/>
  <c r="W192" i="76"/>
  <c r="W191" i="76"/>
  <c r="W190" i="76"/>
  <c r="W189" i="76"/>
  <c r="W188" i="76"/>
  <c r="W187" i="76"/>
  <c r="W186" i="76"/>
  <c r="C116" i="75" s="1"/>
  <c r="W185" i="76"/>
  <c r="W184" i="76"/>
  <c r="W183" i="76"/>
  <c r="W182" i="76"/>
  <c r="W181" i="76"/>
  <c r="W180" i="76"/>
  <c r="W179" i="76"/>
  <c r="W178" i="76"/>
  <c r="C108" i="75" s="1"/>
  <c r="W177" i="76"/>
  <c r="W176" i="76"/>
  <c r="W175" i="76"/>
  <c r="W174" i="76"/>
  <c r="W173" i="76"/>
  <c r="W172" i="76"/>
  <c r="W171" i="76"/>
  <c r="W170" i="76"/>
  <c r="C100" i="75" s="1"/>
  <c r="W169" i="76"/>
  <c r="W168" i="76"/>
  <c r="W167" i="76"/>
  <c r="W166" i="76"/>
  <c r="W165" i="76"/>
  <c r="W164" i="76"/>
  <c r="W163" i="76"/>
  <c r="W162" i="76"/>
  <c r="C92" i="75" s="1"/>
  <c r="W161" i="76"/>
  <c r="W160" i="76"/>
  <c r="W159" i="76"/>
  <c r="W158" i="76"/>
  <c r="W157" i="76"/>
  <c r="W156" i="76"/>
  <c r="W155" i="76"/>
  <c r="W154" i="76"/>
  <c r="C84" i="75" s="1"/>
  <c r="W153" i="76"/>
  <c r="W152" i="76"/>
  <c r="W151" i="76"/>
  <c r="W150" i="76"/>
  <c r="W149" i="76"/>
  <c r="W148" i="76"/>
  <c r="W147" i="76"/>
  <c r="W146" i="76"/>
  <c r="C76" i="75" s="1"/>
  <c r="W145" i="76"/>
  <c r="W144" i="76"/>
  <c r="W141" i="76"/>
  <c r="W140" i="76"/>
  <c r="W139" i="76"/>
  <c r="W138" i="76"/>
  <c r="W137" i="76"/>
  <c r="W136" i="76"/>
  <c r="C65" i="75" s="1"/>
  <c r="W135" i="76"/>
  <c r="O134" i="76"/>
  <c r="W134" i="76" s="1"/>
  <c r="C63" i="75" s="1"/>
  <c r="W133" i="76"/>
  <c r="W132" i="76"/>
  <c r="W131" i="76"/>
  <c r="W130" i="76"/>
  <c r="W129" i="76"/>
  <c r="C58" i="75" s="1"/>
  <c r="W128" i="76"/>
  <c r="W127" i="76"/>
  <c r="W126" i="76"/>
  <c r="W125" i="76"/>
  <c r="W124" i="76"/>
  <c r="W123" i="76"/>
  <c r="W122" i="76"/>
  <c r="W121" i="76"/>
  <c r="C50" i="75" s="1"/>
  <c r="W120" i="76"/>
  <c r="W119" i="76"/>
  <c r="W118" i="76"/>
  <c r="W117" i="76"/>
  <c r="W116" i="76"/>
  <c r="W115" i="76"/>
  <c r="W114" i="76"/>
  <c r="W113" i="76"/>
  <c r="C42" i="75" s="1"/>
  <c r="W112" i="76"/>
  <c r="W111" i="76"/>
  <c r="W110" i="76"/>
  <c r="W108" i="76"/>
  <c r="C108" i="76"/>
  <c r="W107" i="76"/>
  <c r="W106" i="76"/>
  <c r="W105" i="76"/>
  <c r="C34" i="75" s="1"/>
  <c r="W104" i="76"/>
  <c r="W103" i="76"/>
  <c r="W102" i="76"/>
  <c r="W101" i="76"/>
  <c r="W100" i="76"/>
  <c r="W99" i="76"/>
  <c r="C99" i="76"/>
  <c r="W98" i="76"/>
  <c r="C28" i="75" s="1"/>
  <c r="W97" i="76"/>
  <c r="W96" i="76"/>
  <c r="W95" i="76"/>
  <c r="W94" i="76"/>
  <c r="W93" i="76"/>
  <c r="W92" i="76"/>
  <c r="V88" i="76"/>
  <c r="U88" i="76"/>
  <c r="T88" i="76"/>
  <c r="S88" i="76"/>
  <c r="R88" i="76"/>
  <c r="Q88" i="76"/>
  <c r="P88" i="76"/>
  <c r="O88" i="76"/>
  <c r="N88" i="76"/>
  <c r="M88" i="76"/>
  <c r="L88" i="76"/>
  <c r="K88" i="76"/>
  <c r="J88" i="76"/>
  <c r="I88" i="76"/>
  <c r="H88" i="76"/>
  <c r="G88" i="76"/>
  <c r="F88" i="76"/>
  <c r="E88" i="76"/>
  <c r="D88" i="76"/>
  <c r="C88" i="76"/>
  <c r="W88" i="76" s="1"/>
  <c r="V85" i="76"/>
  <c r="V87" i="76" s="1"/>
  <c r="V89" i="76" s="1"/>
  <c r="U85" i="76"/>
  <c r="U87" i="76" s="1"/>
  <c r="U89" i="76" s="1"/>
  <c r="T85" i="76"/>
  <c r="T87" i="76" s="1"/>
  <c r="T89" i="76" s="1"/>
  <c r="S85" i="76"/>
  <c r="R85" i="76"/>
  <c r="Q85" i="76"/>
  <c r="P85" i="76"/>
  <c r="O85" i="76"/>
  <c r="N85" i="76"/>
  <c r="N87" i="76" s="1"/>
  <c r="N89" i="76" s="1"/>
  <c r="M85" i="76"/>
  <c r="M87" i="76" s="1"/>
  <c r="M89" i="76" s="1"/>
  <c r="L85" i="76"/>
  <c r="L87" i="76" s="1"/>
  <c r="L89" i="76" s="1"/>
  <c r="K85" i="76"/>
  <c r="J85" i="76"/>
  <c r="I85" i="76"/>
  <c r="H85" i="76"/>
  <c r="G85" i="76"/>
  <c r="F85" i="76"/>
  <c r="F87" i="76" s="1"/>
  <c r="F89" i="76" s="1"/>
  <c r="E85" i="76"/>
  <c r="E87" i="76" s="1"/>
  <c r="E89" i="76" s="1"/>
  <c r="D85" i="76"/>
  <c r="D87" i="76" s="1"/>
  <c r="D89" i="76" s="1"/>
  <c r="C85" i="76"/>
  <c r="X83" i="76"/>
  <c r="W83" i="76"/>
  <c r="X82" i="76"/>
  <c r="W82" i="76"/>
  <c r="X81" i="76"/>
  <c r="W81" i="76"/>
  <c r="X80" i="76"/>
  <c r="W80" i="76"/>
  <c r="X79" i="76"/>
  <c r="W79" i="76"/>
  <c r="X78" i="76"/>
  <c r="W78" i="76"/>
  <c r="X77" i="76"/>
  <c r="W77" i="76"/>
  <c r="X76" i="76"/>
  <c r="W76" i="76"/>
  <c r="U74" i="76"/>
  <c r="S74" i="76"/>
  <c r="S87" i="76" s="1"/>
  <c r="S89" i="76" s="1"/>
  <c r="M74" i="76"/>
  <c r="K74" i="76"/>
  <c r="K87" i="76" s="1"/>
  <c r="K89" i="76" s="1"/>
  <c r="E74" i="76"/>
  <c r="D74" i="76"/>
  <c r="C74" i="76"/>
  <c r="C87" i="76" s="1"/>
  <c r="V72" i="76"/>
  <c r="U72" i="76"/>
  <c r="T72" i="76"/>
  <c r="S72" i="76"/>
  <c r="R72" i="76"/>
  <c r="R74" i="76" s="1"/>
  <c r="R87" i="76" s="1"/>
  <c r="R89" i="76" s="1"/>
  <c r="Q72" i="76"/>
  <c r="Q74" i="76" s="1"/>
  <c r="Q87" i="76" s="1"/>
  <c r="Q89" i="76" s="1"/>
  <c r="P72" i="76"/>
  <c r="P74" i="76" s="1"/>
  <c r="O72" i="76"/>
  <c r="O74" i="76" s="1"/>
  <c r="N72" i="76"/>
  <c r="M72" i="76"/>
  <c r="L72" i="76"/>
  <c r="K72" i="76"/>
  <c r="J72" i="76"/>
  <c r="J74" i="76" s="1"/>
  <c r="J87" i="76" s="1"/>
  <c r="J89" i="76" s="1"/>
  <c r="I72" i="76"/>
  <c r="I74" i="76" s="1"/>
  <c r="I87" i="76" s="1"/>
  <c r="I89" i="76" s="1"/>
  <c r="H72" i="76"/>
  <c r="H74" i="76" s="1"/>
  <c r="G72" i="76"/>
  <c r="W72" i="76" s="1"/>
  <c r="C11" i="75" s="1"/>
  <c r="F72" i="76"/>
  <c r="E72" i="76"/>
  <c r="D72" i="76"/>
  <c r="C72" i="76"/>
  <c r="X70" i="76"/>
  <c r="X69" i="76"/>
  <c r="X68" i="76"/>
  <c r="X67" i="76"/>
  <c r="V65" i="76"/>
  <c r="V74" i="76" s="1"/>
  <c r="U65" i="76"/>
  <c r="T65" i="76"/>
  <c r="S65" i="76"/>
  <c r="R65" i="76"/>
  <c r="Q65" i="76"/>
  <c r="P65" i="76"/>
  <c r="O65" i="76"/>
  <c r="N65" i="76"/>
  <c r="N74" i="76" s="1"/>
  <c r="M65" i="76"/>
  <c r="L65" i="76"/>
  <c r="K65" i="76"/>
  <c r="J65" i="76"/>
  <c r="I65" i="76"/>
  <c r="H65" i="76"/>
  <c r="G65" i="76"/>
  <c r="F65" i="76"/>
  <c r="F74" i="76" s="1"/>
  <c r="E65" i="76"/>
  <c r="D65" i="76"/>
  <c r="C65" i="76"/>
  <c r="W65" i="76" s="1"/>
  <c r="C9" i="75" s="1"/>
  <c r="X63" i="76"/>
  <c r="W63" i="76"/>
  <c r="X62" i="76"/>
  <c r="W62" i="76"/>
  <c r="X61" i="76"/>
  <c r="W61" i="76"/>
  <c r="X60" i="76"/>
  <c r="W60" i="76"/>
  <c r="X59" i="76"/>
  <c r="W59" i="76"/>
  <c r="X58" i="76"/>
  <c r="W58" i="76"/>
  <c r="X57" i="76"/>
  <c r="W57" i="76"/>
  <c r="X56" i="76"/>
  <c r="W56" i="76"/>
  <c r="X55" i="76"/>
  <c r="W55" i="76"/>
  <c r="X54" i="76"/>
  <c r="W54" i="76"/>
  <c r="X53" i="76"/>
  <c r="W53" i="76"/>
  <c r="X52" i="76"/>
  <c r="W52" i="76"/>
  <c r="V50" i="76"/>
  <c r="U50" i="76"/>
  <c r="T50" i="76"/>
  <c r="T74" i="76" s="1"/>
  <c r="S50" i="76"/>
  <c r="R50" i="76"/>
  <c r="Q50" i="76"/>
  <c r="P50" i="76"/>
  <c r="O50" i="76"/>
  <c r="N50" i="76"/>
  <c r="M50" i="76"/>
  <c r="L50" i="76"/>
  <c r="L74" i="76" s="1"/>
  <c r="K50" i="76"/>
  <c r="J50" i="76"/>
  <c r="I50" i="76"/>
  <c r="H50" i="76"/>
  <c r="G50" i="76"/>
  <c r="F50" i="76"/>
  <c r="W50" i="76" s="1"/>
  <c r="C7" i="75" s="1"/>
  <c r="E50" i="76"/>
  <c r="D50" i="76"/>
  <c r="C50" i="76"/>
  <c r="X48" i="76"/>
  <c r="W48" i="76"/>
  <c r="X47" i="76"/>
  <c r="W47" i="76"/>
  <c r="X46" i="76"/>
  <c r="W46" i="76"/>
  <c r="X45" i="76"/>
  <c r="W45" i="76"/>
  <c r="X44" i="76"/>
  <c r="W44" i="76"/>
  <c r="X43" i="76"/>
  <c r="W43" i="76"/>
  <c r="X42" i="76"/>
  <c r="W42" i="76"/>
  <c r="X41" i="76"/>
  <c r="W41" i="76"/>
  <c r="X40" i="76"/>
  <c r="W40" i="76"/>
  <c r="X39" i="76"/>
  <c r="W39" i="76"/>
  <c r="X38" i="76"/>
  <c r="W38" i="76"/>
  <c r="V36" i="76"/>
  <c r="U36" i="76"/>
  <c r="T36" i="76"/>
  <c r="S36" i="76"/>
  <c r="R36" i="76"/>
  <c r="Q36" i="76"/>
  <c r="P36" i="76"/>
  <c r="O36" i="76"/>
  <c r="N36" i="76"/>
  <c r="M36" i="76"/>
  <c r="L36" i="76"/>
  <c r="K36" i="76"/>
  <c r="J36" i="76"/>
  <c r="I36" i="76"/>
  <c r="H36" i="76"/>
  <c r="G36" i="76"/>
  <c r="F36" i="76"/>
  <c r="E36" i="76"/>
  <c r="D36" i="76"/>
  <c r="C36" i="76"/>
  <c r="W36" i="76" s="1"/>
  <c r="X34" i="76"/>
  <c r="X33" i="76"/>
  <c r="X32" i="76"/>
  <c r="X31" i="76"/>
  <c r="X30" i="76"/>
  <c r="X29" i="76"/>
  <c r="X28" i="76"/>
  <c r="X27" i="76"/>
  <c r="X26" i="76"/>
  <c r="X25" i="76"/>
  <c r="X24" i="76"/>
  <c r="X23" i="76"/>
  <c r="X22" i="76"/>
  <c r="X21" i="76"/>
  <c r="X20" i="76"/>
  <c r="X19" i="76"/>
  <c r="X18" i="76"/>
  <c r="X17" i="76"/>
  <c r="X16" i="76"/>
  <c r="X15" i="76"/>
  <c r="X14" i="76"/>
  <c r="X13" i="76"/>
  <c r="X12" i="76"/>
  <c r="Y12" i="76" s="1"/>
  <c r="X11" i="76"/>
  <c r="Y11" i="76" s="1"/>
  <c r="Y10" i="76"/>
  <c r="X10" i="76"/>
  <c r="X9" i="76"/>
  <c r="Y9" i="76" s="1"/>
  <c r="X8" i="76"/>
  <c r="X7" i="76"/>
  <c r="Y7" i="76" s="1"/>
  <c r="Y6" i="76"/>
  <c r="X6" i="76"/>
  <c r="X5" i="76"/>
  <c r="Y5" i="76" s="1"/>
  <c r="B163" i="75"/>
  <c r="D162" i="75"/>
  <c r="D161" i="75"/>
  <c r="C161" i="75"/>
  <c r="C160" i="75"/>
  <c r="D159" i="75"/>
  <c r="C159" i="75"/>
  <c r="D158" i="75"/>
  <c r="C158" i="75"/>
  <c r="D157" i="75"/>
  <c r="C157" i="75"/>
  <c r="D156" i="75"/>
  <c r="D155" i="75"/>
  <c r="C155" i="75"/>
  <c r="D154" i="75"/>
  <c r="C154" i="75"/>
  <c r="D153" i="75"/>
  <c r="C153" i="75"/>
  <c r="C152" i="75"/>
  <c r="D151" i="75"/>
  <c r="C151" i="75"/>
  <c r="D150" i="75"/>
  <c r="C150" i="75"/>
  <c r="D149" i="75"/>
  <c r="C149" i="75"/>
  <c r="D148" i="75"/>
  <c r="D145" i="75"/>
  <c r="C145" i="75"/>
  <c r="D144" i="75"/>
  <c r="C144" i="75"/>
  <c r="D143" i="75"/>
  <c r="C143" i="75"/>
  <c r="D142" i="75"/>
  <c r="C142" i="75"/>
  <c r="D141" i="75"/>
  <c r="C141" i="75"/>
  <c r="D140" i="75"/>
  <c r="C140" i="75"/>
  <c r="D139" i="75"/>
  <c r="D138" i="75"/>
  <c r="C138" i="75"/>
  <c r="D137" i="75"/>
  <c r="C137" i="75"/>
  <c r="D136" i="75"/>
  <c r="C136" i="75"/>
  <c r="D135" i="75"/>
  <c r="C135" i="75"/>
  <c r="D134" i="75"/>
  <c r="C134" i="75"/>
  <c r="D133" i="75"/>
  <c r="C133" i="75"/>
  <c r="D132" i="75"/>
  <c r="D131" i="75"/>
  <c r="C131" i="75"/>
  <c r="D130" i="75"/>
  <c r="C130" i="75"/>
  <c r="D129" i="75"/>
  <c r="C129" i="75"/>
  <c r="D128" i="75"/>
  <c r="C128" i="75"/>
  <c r="D127" i="75"/>
  <c r="C127" i="75"/>
  <c r="D126" i="75"/>
  <c r="C126" i="75"/>
  <c r="D125" i="75"/>
  <c r="C125" i="75"/>
  <c r="D124" i="75"/>
  <c r="D123" i="75"/>
  <c r="C123" i="75"/>
  <c r="C122" i="75"/>
  <c r="C121" i="75"/>
  <c r="D120" i="75"/>
  <c r="C120" i="75"/>
  <c r="D119" i="75"/>
  <c r="C119" i="75"/>
  <c r="D118" i="75"/>
  <c r="C118" i="75"/>
  <c r="D117" i="75"/>
  <c r="C117" i="75"/>
  <c r="D116" i="75"/>
  <c r="D115" i="75"/>
  <c r="C115" i="75"/>
  <c r="D114" i="75"/>
  <c r="C114" i="75"/>
  <c r="C113" i="75"/>
  <c r="D112" i="75"/>
  <c r="C112" i="75"/>
  <c r="D111" i="75"/>
  <c r="C111" i="75"/>
  <c r="D110" i="75"/>
  <c r="C110" i="75"/>
  <c r="D109" i="75"/>
  <c r="C109" i="75"/>
  <c r="D108" i="75"/>
  <c r="D107" i="75"/>
  <c r="C107" i="75"/>
  <c r="D106" i="75"/>
  <c r="C106" i="75"/>
  <c r="D105" i="75"/>
  <c r="C105" i="75"/>
  <c r="D104" i="75"/>
  <c r="C104" i="75"/>
  <c r="D103" i="75"/>
  <c r="C103" i="75"/>
  <c r="D102" i="75"/>
  <c r="C102" i="75"/>
  <c r="D101" i="75"/>
  <c r="C101" i="75"/>
  <c r="D100" i="75"/>
  <c r="D99" i="75"/>
  <c r="C99" i="75"/>
  <c r="D98" i="75"/>
  <c r="C98" i="75"/>
  <c r="D97" i="75"/>
  <c r="C97" i="75"/>
  <c r="D96" i="75"/>
  <c r="C96" i="75"/>
  <c r="C95" i="75"/>
  <c r="C94" i="75"/>
  <c r="C93" i="75"/>
  <c r="C91" i="75"/>
  <c r="C90" i="75"/>
  <c r="C89" i="75"/>
  <c r="D88" i="75"/>
  <c r="C88" i="75"/>
  <c r="C87" i="75"/>
  <c r="D86" i="75"/>
  <c r="C86" i="75"/>
  <c r="D85" i="75"/>
  <c r="C85" i="75"/>
  <c r="D83" i="75"/>
  <c r="C83" i="75"/>
  <c r="D82" i="75"/>
  <c r="C82" i="75"/>
  <c r="D81" i="75"/>
  <c r="C81" i="75"/>
  <c r="D80" i="75"/>
  <c r="C80" i="75"/>
  <c r="D79" i="75"/>
  <c r="C79" i="75"/>
  <c r="D78" i="75"/>
  <c r="C78" i="75"/>
  <c r="C77" i="75"/>
  <c r="D76" i="75"/>
  <c r="D75" i="75"/>
  <c r="C75" i="75"/>
  <c r="C73" i="75" s="1"/>
  <c r="D74" i="75"/>
  <c r="C74" i="75"/>
  <c r="C71" i="75"/>
  <c r="C70" i="75"/>
  <c r="C69" i="75" s="1"/>
  <c r="D67" i="75"/>
  <c r="C67" i="75"/>
  <c r="D66" i="75"/>
  <c r="C66" i="75"/>
  <c r="D65" i="75"/>
  <c r="D64" i="75"/>
  <c r="C64" i="75"/>
  <c r="D62" i="75"/>
  <c r="C62" i="75"/>
  <c r="D61" i="75"/>
  <c r="C61" i="75"/>
  <c r="D60" i="75"/>
  <c r="C60" i="75"/>
  <c r="D59" i="75"/>
  <c r="C59" i="75"/>
  <c r="D58" i="75"/>
  <c r="D57" i="75"/>
  <c r="C57" i="75"/>
  <c r="D56" i="75"/>
  <c r="C56" i="75"/>
  <c r="C55" i="75"/>
  <c r="D54" i="75"/>
  <c r="C54" i="75"/>
  <c r="D53" i="75"/>
  <c r="C53" i="75"/>
  <c r="D52" i="75"/>
  <c r="C52" i="75"/>
  <c r="D51" i="75"/>
  <c r="C51" i="75"/>
  <c r="D50" i="75"/>
  <c r="D49" i="75"/>
  <c r="C49" i="75"/>
  <c r="D48" i="75"/>
  <c r="C48" i="75"/>
  <c r="C47" i="75"/>
  <c r="D46" i="75"/>
  <c r="C46" i="75"/>
  <c r="C45" i="75"/>
  <c r="D44" i="75"/>
  <c r="C44" i="75"/>
  <c r="C43" i="75"/>
  <c r="D41" i="75"/>
  <c r="C41" i="75"/>
  <c r="C40" i="75"/>
  <c r="C37" i="75"/>
  <c r="C36" i="75"/>
  <c r="D35" i="75"/>
  <c r="C35" i="75"/>
  <c r="D34" i="75"/>
  <c r="C33" i="75"/>
  <c r="C32" i="75"/>
  <c r="D31" i="75"/>
  <c r="C31" i="75"/>
  <c r="D30" i="75"/>
  <c r="C30" i="75"/>
  <c r="C29" i="75"/>
  <c r="C27" i="75"/>
  <c r="D26" i="75"/>
  <c r="C26" i="75"/>
  <c r="C25" i="75"/>
  <c r="D24" i="75"/>
  <c r="C24" i="75"/>
  <c r="D23" i="75"/>
  <c r="C23" i="75"/>
  <c r="C22" i="75"/>
  <c r="C21" i="75" s="1"/>
  <c r="D11" i="75"/>
  <c r="C89" i="76" l="1"/>
  <c r="J23" i="78"/>
  <c r="D43" i="75" s="1"/>
  <c r="C39" i="75"/>
  <c r="C18" i="75" s="1"/>
  <c r="P87" i="76"/>
  <c r="P89" i="76" s="1"/>
  <c r="H108" i="77"/>
  <c r="O87" i="76"/>
  <c r="O89" i="76" s="1"/>
  <c r="H87" i="76"/>
  <c r="H89" i="76" s="1"/>
  <c r="F146" i="78"/>
  <c r="J146" i="78" s="1"/>
  <c r="D163" i="75" s="1"/>
  <c r="J69" i="78"/>
  <c r="D87" i="75" s="1"/>
  <c r="D144" i="78"/>
  <c r="E11" i="75"/>
  <c r="Y4" i="76"/>
  <c r="W74" i="76"/>
  <c r="C5" i="75"/>
  <c r="C13" i="75" s="1"/>
  <c r="C17" i="75" s="1"/>
  <c r="J6" i="78"/>
  <c r="D25" i="75" s="1"/>
  <c r="C51" i="78"/>
  <c r="E6" i="78"/>
  <c r="J8" i="78"/>
  <c r="D27" i="75" s="1"/>
  <c r="E8" i="78"/>
  <c r="E17" i="78"/>
  <c r="J17" i="78"/>
  <c r="D37" i="75" s="1"/>
  <c r="H76" i="77"/>
  <c r="H88" i="77" s="1"/>
  <c r="H90" i="77" s="1"/>
  <c r="D5" i="75"/>
  <c r="W85" i="76"/>
  <c r="C15" i="75" s="1"/>
  <c r="E15" i="75" s="1"/>
  <c r="E25" i="78"/>
  <c r="J25" i="78" s="1"/>
  <c r="D45" i="75" s="1"/>
  <c r="D51" i="78"/>
  <c r="D54" i="78" s="1"/>
  <c r="D145" i="78" s="1"/>
  <c r="D147" i="78" s="1"/>
  <c r="E104" i="78"/>
  <c r="E144" i="78" s="1"/>
  <c r="E3" i="78"/>
  <c r="E10" i="78"/>
  <c r="J10" i="78" s="1"/>
  <c r="D29" i="75" s="1"/>
  <c r="E23" i="78"/>
  <c r="C144" i="78"/>
  <c r="G74" i="76"/>
  <c r="G87" i="76" s="1"/>
  <c r="D39" i="75" l="1"/>
  <c r="G89" i="76"/>
  <c r="W87" i="76"/>
  <c r="E51" i="78"/>
  <c r="E54" i="78" s="1"/>
  <c r="E145" i="78" s="1"/>
  <c r="E147" i="78" s="1"/>
  <c r="C19" i="75"/>
  <c r="J104" i="78"/>
  <c r="D122" i="75" s="1"/>
  <c r="D73" i="75" s="1"/>
  <c r="D13" i="75"/>
  <c r="E5" i="75"/>
  <c r="F147" i="78"/>
  <c r="J3" i="78"/>
  <c r="D22" i="75" s="1"/>
  <c r="D21" i="75" s="1"/>
  <c r="J144" i="78"/>
  <c r="C54" i="78"/>
  <c r="E13" i="75" l="1"/>
  <c r="D17" i="75"/>
  <c r="X87" i="76"/>
  <c r="W89" i="76"/>
  <c r="J51" i="78"/>
  <c r="D18" i="75"/>
  <c r="E18" i="75" s="1"/>
  <c r="J54" i="78"/>
  <c r="C145" i="78"/>
  <c r="C147" i="78" l="1"/>
  <c r="J147" i="78" s="1"/>
  <c r="J149" i="78" s="1"/>
  <c r="J145" i="78"/>
  <c r="D19" i="75"/>
  <c r="E19" i="75" s="1"/>
  <c r="E17" i="75"/>
  <c r="J149" i="73" l="1"/>
  <c r="J146" i="73"/>
  <c r="I144" i="73"/>
  <c r="H144" i="73"/>
  <c r="G144" i="73"/>
  <c r="F144" i="73"/>
  <c r="E144" i="73"/>
  <c r="E145" i="73" s="1"/>
  <c r="E147" i="73" s="1"/>
  <c r="D144" i="73"/>
  <c r="C144" i="73"/>
  <c r="J144" i="73" s="1"/>
  <c r="J143" i="73"/>
  <c r="J142" i="73"/>
  <c r="J141" i="73"/>
  <c r="J140" i="73"/>
  <c r="J139" i="73"/>
  <c r="J138" i="73"/>
  <c r="D155" i="70" s="1"/>
  <c r="J137" i="73"/>
  <c r="J136" i="73"/>
  <c r="J135" i="73"/>
  <c r="J134" i="73"/>
  <c r="J133" i="73"/>
  <c r="J132" i="73"/>
  <c r="J131" i="73"/>
  <c r="J130" i="73"/>
  <c r="D147" i="70" s="1"/>
  <c r="J129" i="73"/>
  <c r="J127" i="73"/>
  <c r="J126" i="73"/>
  <c r="J125" i="73"/>
  <c r="J124" i="73"/>
  <c r="J123" i="73"/>
  <c r="J122" i="73"/>
  <c r="J121" i="73"/>
  <c r="D138" i="70" s="1"/>
  <c r="J120" i="73"/>
  <c r="J119" i="73"/>
  <c r="J118" i="73"/>
  <c r="J117" i="73"/>
  <c r="J116" i="73"/>
  <c r="J115" i="73"/>
  <c r="J114" i="73"/>
  <c r="J113" i="73"/>
  <c r="D130" i="70" s="1"/>
  <c r="J112" i="73"/>
  <c r="J111" i="73"/>
  <c r="J110" i="73"/>
  <c r="J109" i="73"/>
  <c r="J108" i="73"/>
  <c r="J107" i="73"/>
  <c r="J106" i="73"/>
  <c r="J105" i="73"/>
  <c r="D122" i="70" s="1"/>
  <c r="J104" i="73"/>
  <c r="J103" i="73"/>
  <c r="J102" i="73"/>
  <c r="J101" i="73"/>
  <c r="J100" i="73"/>
  <c r="J99" i="73"/>
  <c r="J98" i="73"/>
  <c r="J97" i="73"/>
  <c r="D114" i="70" s="1"/>
  <c r="J96" i="73"/>
  <c r="J95" i="73"/>
  <c r="J94" i="73"/>
  <c r="J93" i="73"/>
  <c r="J92" i="73"/>
  <c r="J91" i="73"/>
  <c r="J90" i="73"/>
  <c r="J89" i="73"/>
  <c r="D106" i="70" s="1"/>
  <c r="J88" i="73"/>
  <c r="J87" i="73"/>
  <c r="J86" i="73"/>
  <c r="J85" i="73"/>
  <c r="J84" i="73"/>
  <c r="J83" i="73"/>
  <c r="J82" i="73"/>
  <c r="J81" i="73"/>
  <c r="D98" i="70" s="1"/>
  <c r="J80" i="73"/>
  <c r="J79" i="73"/>
  <c r="J78" i="73"/>
  <c r="J77" i="73"/>
  <c r="J76" i="73"/>
  <c r="J75" i="73"/>
  <c r="J74" i="73"/>
  <c r="J73" i="73"/>
  <c r="D90" i="70" s="1"/>
  <c r="J72" i="73"/>
  <c r="J71" i="73"/>
  <c r="J70" i="73"/>
  <c r="J69" i="73"/>
  <c r="J68" i="73"/>
  <c r="J67" i="73"/>
  <c r="J66" i="73"/>
  <c r="J65" i="73"/>
  <c r="D82" i="70" s="1"/>
  <c r="J64" i="73"/>
  <c r="J63" i="73"/>
  <c r="J62" i="73"/>
  <c r="J61" i="73"/>
  <c r="J60" i="73"/>
  <c r="J59" i="73"/>
  <c r="J58" i="73"/>
  <c r="J57" i="73"/>
  <c r="D74" i="70" s="1"/>
  <c r="D72" i="70" s="1"/>
  <c r="J56" i="73"/>
  <c r="E54" i="73"/>
  <c r="D54" i="73"/>
  <c r="D145" i="73" s="1"/>
  <c r="D147" i="73" s="1"/>
  <c r="J53" i="73"/>
  <c r="J52" i="73"/>
  <c r="I51" i="73"/>
  <c r="I54" i="73" s="1"/>
  <c r="I145" i="73" s="1"/>
  <c r="I147" i="73" s="1"/>
  <c r="H51" i="73"/>
  <c r="H54" i="73" s="1"/>
  <c r="H145" i="73" s="1"/>
  <c r="H147" i="73" s="1"/>
  <c r="G51" i="73"/>
  <c r="G54" i="73" s="1"/>
  <c r="G145" i="73" s="1"/>
  <c r="G147" i="73" s="1"/>
  <c r="F51" i="73"/>
  <c r="F54" i="73" s="1"/>
  <c r="F145" i="73" s="1"/>
  <c r="F147" i="73" s="1"/>
  <c r="E51" i="73"/>
  <c r="D51" i="73"/>
  <c r="C51" i="73"/>
  <c r="C54" i="73" s="1"/>
  <c r="J50" i="73"/>
  <c r="J49" i="73"/>
  <c r="J48" i="73"/>
  <c r="J47" i="73"/>
  <c r="D68" i="70" s="1"/>
  <c r="J46" i="73"/>
  <c r="D67" i="70" s="1"/>
  <c r="J45" i="73"/>
  <c r="J44" i="73"/>
  <c r="J43" i="73"/>
  <c r="J42" i="73"/>
  <c r="J41" i="73"/>
  <c r="J40" i="73"/>
  <c r="J39" i="73"/>
  <c r="D58" i="70" s="1"/>
  <c r="J38" i="73"/>
  <c r="D57" i="70" s="1"/>
  <c r="J37" i="73"/>
  <c r="J36" i="73"/>
  <c r="J35" i="73"/>
  <c r="J34" i="73"/>
  <c r="J33" i="73"/>
  <c r="J32" i="73"/>
  <c r="J31" i="73"/>
  <c r="D50" i="70" s="1"/>
  <c r="J30" i="73"/>
  <c r="D49" i="70" s="1"/>
  <c r="J29" i="73"/>
  <c r="J28" i="73"/>
  <c r="J27" i="73"/>
  <c r="J26" i="73"/>
  <c r="J25" i="73"/>
  <c r="J24" i="73"/>
  <c r="J23" i="73"/>
  <c r="D42" i="70" s="1"/>
  <c r="J22" i="73"/>
  <c r="D41" i="70" s="1"/>
  <c r="J21" i="73"/>
  <c r="J20" i="73"/>
  <c r="J18" i="73"/>
  <c r="J17" i="73"/>
  <c r="J16" i="73"/>
  <c r="J15" i="73"/>
  <c r="J14" i="73"/>
  <c r="D33" i="70" s="1"/>
  <c r="J13" i="73"/>
  <c r="D32" i="70" s="1"/>
  <c r="J12" i="73"/>
  <c r="J11" i="73"/>
  <c r="J10" i="73"/>
  <c r="J9" i="73"/>
  <c r="J8" i="73"/>
  <c r="J7" i="73"/>
  <c r="J6" i="73"/>
  <c r="D25" i="70" s="1"/>
  <c r="J5" i="73"/>
  <c r="D24" i="70" s="1"/>
  <c r="J4" i="73"/>
  <c r="J3" i="73"/>
  <c r="G81" i="72"/>
  <c r="C81" i="72"/>
  <c r="B149" i="73" s="1"/>
  <c r="H79" i="72"/>
  <c r="G79" i="72"/>
  <c r="F79" i="72"/>
  <c r="E79" i="72"/>
  <c r="D79" i="72"/>
  <c r="H71" i="72"/>
  <c r="G71" i="72"/>
  <c r="F71" i="72"/>
  <c r="E71" i="72"/>
  <c r="D71" i="72"/>
  <c r="H67" i="72"/>
  <c r="G67" i="72"/>
  <c r="F67" i="72"/>
  <c r="E67" i="72"/>
  <c r="D67" i="72"/>
  <c r="H57" i="72"/>
  <c r="G57" i="72"/>
  <c r="F57" i="72"/>
  <c r="F74" i="72" s="1"/>
  <c r="E57" i="72"/>
  <c r="D57" i="72"/>
  <c r="F54" i="72"/>
  <c r="H49" i="72"/>
  <c r="D7" i="70" s="1"/>
  <c r="G49" i="72"/>
  <c r="F49" i="72"/>
  <c r="E49" i="72"/>
  <c r="D49" i="72"/>
  <c r="H33" i="72"/>
  <c r="H74" i="72" s="1"/>
  <c r="G33" i="72"/>
  <c r="G74" i="72" s="1"/>
  <c r="F33" i="72"/>
  <c r="E33" i="72"/>
  <c r="E74" i="72" s="1"/>
  <c r="D33" i="72"/>
  <c r="D74" i="72" s="1"/>
  <c r="L226" i="71"/>
  <c r="L225" i="71"/>
  <c r="L224" i="71"/>
  <c r="L223" i="71"/>
  <c r="L222" i="71"/>
  <c r="C157" i="70" s="1"/>
  <c r="L221" i="71"/>
  <c r="L220" i="71"/>
  <c r="C155" i="70" s="1"/>
  <c r="L219" i="71"/>
  <c r="C154" i="70" s="1"/>
  <c r="L218" i="71"/>
  <c r="L217" i="71"/>
  <c r="L216" i="71"/>
  <c r="L215" i="71"/>
  <c r="L214" i="71"/>
  <c r="C149" i="70" s="1"/>
  <c r="L213" i="71"/>
  <c r="L212" i="71"/>
  <c r="C147" i="70" s="1"/>
  <c r="L211" i="71"/>
  <c r="C146" i="70" s="1"/>
  <c r="L210" i="71"/>
  <c r="L209" i="71"/>
  <c r="L208" i="71"/>
  <c r="L207" i="71"/>
  <c r="L206" i="71"/>
  <c r="C141" i="70" s="1"/>
  <c r="L205" i="71"/>
  <c r="L204" i="71"/>
  <c r="L203" i="71"/>
  <c r="C138" i="70" s="1"/>
  <c r="L202" i="71"/>
  <c r="L201" i="71"/>
  <c r="L200" i="71"/>
  <c r="L199" i="71"/>
  <c r="L198" i="71"/>
  <c r="C134" i="70" s="1"/>
  <c r="L197" i="71"/>
  <c r="L196" i="71"/>
  <c r="C132" i="70" s="1"/>
  <c r="L195" i="71"/>
  <c r="L194" i="71"/>
  <c r="L193" i="71"/>
  <c r="L192" i="71"/>
  <c r="C128" i="70" s="1"/>
  <c r="L191" i="71"/>
  <c r="L190" i="71"/>
  <c r="C126" i="70" s="1"/>
  <c r="L189" i="71"/>
  <c r="L188" i="71"/>
  <c r="C124" i="70" s="1"/>
  <c r="L187" i="71"/>
  <c r="L186" i="71"/>
  <c r="L185" i="71"/>
  <c r="L184" i="71"/>
  <c r="C120" i="70" s="1"/>
  <c r="L183" i="71"/>
  <c r="L182" i="71"/>
  <c r="C118" i="70" s="1"/>
  <c r="L181" i="71"/>
  <c r="L180" i="71"/>
  <c r="C116" i="70" s="1"/>
  <c r="L179" i="71"/>
  <c r="L178" i="71"/>
  <c r="L177" i="71"/>
  <c r="L176" i="71"/>
  <c r="C112" i="70" s="1"/>
  <c r="L175" i="71"/>
  <c r="L174" i="71"/>
  <c r="C110" i="70" s="1"/>
  <c r="L173" i="71"/>
  <c r="L172" i="71"/>
  <c r="C108" i="70" s="1"/>
  <c r="L171" i="71"/>
  <c r="L170" i="71"/>
  <c r="L169" i="71"/>
  <c r="L168" i="71"/>
  <c r="C104" i="70" s="1"/>
  <c r="L167" i="71"/>
  <c r="L166" i="71"/>
  <c r="C102" i="70" s="1"/>
  <c r="L165" i="71"/>
  <c r="L164" i="71"/>
  <c r="C100" i="70" s="1"/>
  <c r="L163" i="71"/>
  <c r="L162" i="71"/>
  <c r="L161" i="71"/>
  <c r="L160" i="71"/>
  <c r="C96" i="70" s="1"/>
  <c r="L159" i="71"/>
  <c r="L158" i="71"/>
  <c r="C94" i="70" s="1"/>
  <c r="L157" i="71"/>
  <c r="L156" i="71"/>
  <c r="C92" i="70" s="1"/>
  <c r="L155" i="71"/>
  <c r="L154" i="71"/>
  <c r="L153" i="71"/>
  <c r="L152" i="71"/>
  <c r="C88" i="70" s="1"/>
  <c r="L151" i="71"/>
  <c r="L150" i="71"/>
  <c r="C86" i="70" s="1"/>
  <c r="L149" i="71"/>
  <c r="L148" i="71"/>
  <c r="C84" i="70" s="1"/>
  <c r="L147" i="71"/>
  <c r="L146" i="71"/>
  <c r="L145" i="71"/>
  <c r="L144" i="71"/>
  <c r="C80" i="70" s="1"/>
  <c r="L143" i="71"/>
  <c r="L142" i="71"/>
  <c r="C78" i="70" s="1"/>
  <c r="L141" i="71"/>
  <c r="L140" i="71"/>
  <c r="C76" i="70" s="1"/>
  <c r="L139" i="71"/>
  <c r="L138" i="71"/>
  <c r="L137" i="71"/>
  <c r="L134" i="71"/>
  <c r="L133" i="71"/>
  <c r="L132" i="71"/>
  <c r="C66" i="70" s="1"/>
  <c r="L131" i="71"/>
  <c r="L130" i="71"/>
  <c r="L129" i="71"/>
  <c r="C63" i="70" s="1"/>
  <c r="L128" i="71"/>
  <c r="L127" i="71"/>
  <c r="L126" i="71"/>
  <c r="L125" i="71"/>
  <c r="L124" i="71"/>
  <c r="C58" i="70" s="1"/>
  <c r="L123" i="71"/>
  <c r="L122" i="71"/>
  <c r="L121" i="71"/>
  <c r="C55" i="70" s="1"/>
  <c r="L120" i="71"/>
  <c r="L119" i="71"/>
  <c r="L118" i="71"/>
  <c r="L117" i="71"/>
  <c r="L116" i="71"/>
  <c r="C50" i="70" s="1"/>
  <c r="L115" i="71"/>
  <c r="L114" i="71"/>
  <c r="L113" i="71"/>
  <c r="C47" i="70" s="1"/>
  <c r="L112" i="71"/>
  <c r="L111" i="71"/>
  <c r="L110" i="71"/>
  <c r="L109" i="71"/>
  <c r="L108" i="71"/>
  <c r="C42" i="70" s="1"/>
  <c r="L107" i="71"/>
  <c r="L106" i="71"/>
  <c r="L103" i="71"/>
  <c r="C36" i="70" s="1"/>
  <c r="L102" i="71"/>
  <c r="L101" i="71"/>
  <c r="L100" i="71"/>
  <c r="L99" i="71"/>
  <c r="L98" i="71"/>
  <c r="L97" i="71"/>
  <c r="L96" i="71"/>
  <c r="C30" i="70" s="1"/>
  <c r="L95" i="71"/>
  <c r="C29" i="70" s="1"/>
  <c r="L94" i="71"/>
  <c r="L93" i="71"/>
  <c r="L92" i="71"/>
  <c r="L91" i="71"/>
  <c r="L90" i="71"/>
  <c r="C24" i="70" s="1"/>
  <c r="L89" i="71"/>
  <c r="L88" i="71"/>
  <c r="C22" i="70" s="1"/>
  <c r="K84" i="71"/>
  <c r="J84" i="71"/>
  <c r="I84" i="71"/>
  <c r="H84" i="71"/>
  <c r="G84" i="71"/>
  <c r="F84" i="71"/>
  <c r="E84" i="71"/>
  <c r="D84" i="71"/>
  <c r="C84" i="71"/>
  <c r="L84" i="71" s="1"/>
  <c r="K81" i="71"/>
  <c r="K83" i="71" s="1"/>
  <c r="K85" i="71" s="1"/>
  <c r="J81" i="71"/>
  <c r="I81" i="71"/>
  <c r="H81" i="71"/>
  <c r="G81" i="71"/>
  <c r="G83" i="71" s="1"/>
  <c r="G85" i="71" s="1"/>
  <c r="F81" i="71"/>
  <c r="E81" i="71"/>
  <c r="D81" i="71"/>
  <c r="C81" i="71"/>
  <c r="L81" i="71" s="1"/>
  <c r="C15" i="70" s="1"/>
  <c r="M79" i="71"/>
  <c r="L79" i="71"/>
  <c r="M78" i="71"/>
  <c r="L78" i="71"/>
  <c r="M77" i="71"/>
  <c r="L77" i="71"/>
  <c r="M76" i="71"/>
  <c r="L76" i="71"/>
  <c r="M75" i="71"/>
  <c r="L75" i="71"/>
  <c r="M74" i="71"/>
  <c r="L74" i="71"/>
  <c r="K70" i="71"/>
  <c r="K72" i="71" s="1"/>
  <c r="J70" i="71"/>
  <c r="I70" i="71"/>
  <c r="H70" i="71"/>
  <c r="G70" i="71"/>
  <c r="F70" i="71"/>
  <c r="F72" i="71" s="1"/>
  <c r="E70" i="71"/>
  <c r="D70" i="71"/>
  <c r="D72" i="71" s="1"/>
  <c r="C70" i="71"/>
  <c r="C72" i="71" s="1"/>
  <c r="M68" i="71"/>
  <c r="M67" i="71"/>
  <c r="M66" i="71"/>
  <c r="M65" i="71"/>
  <c r="K63" i="71"/>
  <c r="J63" i="71"/>
  <c r="J72" i="71" s="1"/>
  <c r="J83" i="71" s="1"/>
  <c r="J85" i="71" s="1"/>
  <c r="I63" i="71"/>
  <c r="H63" i="71"/>
  <c r="G63" i="71"/>
  <c r="G72" i="71" s="1"/>
  <c r="F63" i="71"/>
  <c r="E63" i="71"/>
  <c r="E72" i="71" s="1"/>
  <c r="E83" i="71" s="1"/>
  <c r="E85" i="71" s="1"/>
  <c r="D63" i="71"/>
  <c r="L63" i="71" s="1"/>
  <c r="C9" i="70" s="1"/>
  <c r="C63" i="71"/>
  <c r="M61" i="71"/>
  <c r="L61" i="71"/>
  <c r="M60" i="71"/>
  <c r="L60" i="71"/>
  <c r="M59" i="71"/>
  <c r="L59" i="71"/>
  <c r="M58" i="71"/>
  <c r="L58" i="71"/>
  <c r="M57" i="71"/>
  <c r="L57" i="71"/>
  <c r="M56" i="71"/>
  <c r="L56" i="71"/>
  <c r="M55" i="71"/>
  <c r="L55" i="71"/>
  <c r="M54" i="71"/>
  <c r="L54" i="71"/>
  <c r="M53" i="71"/>
  <c r="L53" i="71"/>
  <c r="M52" i="71"/>
  <c r="L52" i="71"/>
  <c r="M51" i="71"/>
  <c r="L51" i="71"/>
  <c r="K49" i="71"/>
  <c r="J49" i="71"/>
  <c r="I49" i="71"/>
  <c r="G49" i="71"/>
  <c r="F49" i="71"/>
  <c r="E49" i="71"/>
  <c r="D49" i="71"/>
  <c r="C49" i="71"/>
  <c r="M47" i="71"/>
  <c r="L47" i="71"/>
  <c r="M46" i="71"/>
  <c r="L46" i="71"/>
  <c r="M45" i="71"/>
  <c r="L45" i="71"/>
  <c r="M44" i="71"/>
  <c r="L44" i="71"/>
  <c r="M43" i="71"/>
  <c r="L43" i="71"/>
  <c r="H43" i="71"/>
  <c r="H49" i="71" s="1"/>
  <c r="M42" i="71"/>
  <c r="L42" i="71"/>
  <c r="M41" i="71"/>
  <c r="L41" i="71"/>
  <c r="M40" i="71"/>
  <c r="L40" i="71"/>
  <c r="M39" i="71"/>
  <c r="L39" i="71"/>
  <c r="M38" i="71"/>
  <c r="L38" i="71"/>
  <c r="K36" i="71"/>
  <c r="J36" i="71"/>
  <c r="I36" i="71"/>
  <c r="I72" i="71" s="1"/>
  <c r="I83" i="71" s="1"/>
  <c r="I85" i="71" s="1"/>
  <c r="H36" i="71"/>
  <c r="G36" i="71"/>
  <c r="F36" i="71"/>
  <c r="E36" i="71"/>
  <c r="D36" i="71"/>
  <c r="L36" i="71" s="1"/>
  <c r="C36" i="71"/>
  <c r="M34" i="71"/>
  <c r="M33" i="71"/>
  <c r="M32" i="71"/>
  <c r="M31" i="71"/>
  <c r="M30" i="71"/>
  <c r="M29" i="71"/>
  <c r="M28" i="71"/>
  <c r="M27" i="71"/>
  <c r="M26" i="71"/>
  <c r="M25" i="71"/>
  <c r="M24" i="71"/>
  <c r="M23" i="71"/>
  <c r="M22" i="71"/>
  <c r="M21" i="71"/>
  <c r="M20" i="71"/>
  <c r="M19" i="71"/>
  <c r="M18" i="71"/>
  <c r="M17" i="71"/>
  <c r="M16" i="71"/>
  <c r="M15" i="71"/>
  <c r="M14" i="71"/>
  <c r="M13" i="71"/>
  <c r="N12" i="71"/>
  <c r="M12" i="71"/>
  <c r="M11" i="71"/>
  <c r="N11" i="71" s="1"/>
  <c r="M10" i="71"/>
  <c r="N10" i="71" s="1"/>
  <c r="N9" i="71"/>
  <c r="M9" i="71"/>
  <c r="M8" i="71"/>
  <c r="M7" i="71"/>
  <c r="N7" i="71" s="1"/>
  <c r="N6" i="71"/>
  <c r="M6" i="71"/>
  <c r="M5" i="71"/>
  <c r="N5" i="71" s="1"/>
  <c r="D161" i="70"/>
  <c r="B161" i="70"/>
  <c r="D160" i="70"/>
  <c r="C160" i="70"/>
  <c r="D159" i="70"/>
  <c r="C159" i="70"/>
  <c r="D158" i="70"/>
  <c r="C158" i="70"/>
  <c r="D157" i="70"/>
  <c r="D156" i="70"/>
  <c r="C156" i="70"/>
  <c r="D154" i="70"/>
  <c r="D153" i="70"/>
  <c r="C153" i="70"/>
  <c r="D152" i="70"/>
  <c r="C152" i="70"/>
  <c r="D151" i="70"/>
  <c r="C151" i="70"/>
  <c r="D150" i="70"/>
  <c r="C150" i="70"/>
  <c r="D149" i="70"/>
  <c r="D148" i="70"/>
  <c r="C148" i="70"/>
  <c r="D146" i="70"/>
  <c r="D144" i="70"/>
  <c r="C144" i="70"/>
  <c r="D143" i="70"/>
  <c r="C143" i="70"/>
  <c r="D142" i="70"/>
  <c r="C142" i="70"/>
  <c r="D141" i="70"/>
  <c r="D140" i="70"/>
  <c r="C140" i="70"/>
  <c r="D139" i="70"/>
  <c r="C139" i="70"/>
  <c r="D137" i="70"/>
  <c r="C137" i="70"/>
  <c r="D136" i="70"/>
  <c r="C136" i="70"/>
  <c r="D135" i="70"/>
  <c r="C135" i="70"/>
  <c r="D134" i="70"/>
  <c r="D133" i="70"/>
  <c r="C133" i="70"/>
  <c r="D132" i="70"/>
  <c r="D131" i="70"/>
  <c r="C131" i="70"/>
  <c r="C130" i="70"/>
  <c r="D129" i="70"/>
  <c r="C129" i="70"/>
  <c r="D128" i="70"/>
  <c r="D127" i="70"/>
  <c r="C127" i="70"/>
  <c r="D126" i="70"/>
  <c r="D125" i="70"/>
  <c r="C125" i="70"/>
  <c r="D124" i="70"/>
  <c r="D123" i="70"/>
  <c r="C123" i="70"/>
  <c r="C122" i="70"/>
  <c r="D121" i="70"/>
  <c r="C121" i="70"/>
  <c r="D120" i="70"/>
  <c r="D119" i="70"/>
  <c r="C119" i="70"/>
  <c r="D118" i="70"/>
  <c r="D117" i="70"/>
  <c r="C117" i="70"/>
  <c r="D116" i="70"/>
  <c r="D115" i="70"/>
  <c r="C115" i="70"/>
  <c r="C114" i="70"/>
  <c r="D113" i="70"/>
  <c r="C113" i="70"/>
  <c r="D112" i="70"/>
  <c r="D111" i="70"/>
  <c r="C111" i="70"/>
  <c r="D110" i="70"/>
  <c r="D109" i="70"/>
  <c r="C109" i="70"/>
  <c r="D108" i="70"/>
  <c r="D107" i="70"/>
  <c r="C107" i="70"/>
  <c r="C106" i="70"/>
  <c r="D105" i="70"/>
  <c r="C105" i="70"/>
  <c r="D104" i="70"/>
  <c r="D103" i="70"/>
  <c r="C103" i="70"/>
  <c r="D102" i="70"/>
  <c r="D101" i="70"/>
  <c r="C101" i="70"/>
  <c r="D100" i="70"/>
  <c r="D99" i="70"/>
  <c r="C99" i="70"/>
  <c r="C98" i="70"/>
  <c r="D97" i="70"/>
  <c r="C97" i="70"/>
  <c r="D96" i="70"/>
  <c r="D95" i="70"/>
  <c r="C95" i="70"/>
  <c r="D94" i="70"/>
  <c r="D93" i="70"/>
  <c r="C93" i="70"/>
  <c r="D92" i="70"/>
  <c r="D91" i="70"/>
  <c r="C91" i="70"/>
  <c r="C90" i="70"/>
  <c r="D89" i="70"/>
  <c r="C89" i="70"/>
  <c r="D88" i="70"/>
  <c r="D87" i="70"/>
  <c r="C87" i="70"/>
  <c r="D86" i="70"/>
  <c r="D85" i="70"/>
  <c r="C85" i="70"/>
  <c r="D84" i="70"/>
  <c r="D83" i="70"/>
  <c r="C83" i="70"/>
  <c r="C82" i="70"/>
  <c r="D81" i="70"/>
  <c r="C81" i="70"/>
  <c r="D80" i="70"/>
  <c r="D79" i="70"/>
  <c r="C79" i="70"/>
  <c r="D78" i="70"/>
  <c r="D77" i="70"/>
  <c r="C77" i="70"/>
  <c r="D76" i="70"/>
  <c r="D75" i="70"/>
  <c r="C75" i="70"/>
  <c r="C74" i="70"/>
  <c r="D73" i="70"/>
  <c r="C73" i="70"/>
  <c r="D70" i="70"/>
  <c r="B70" i="70"/>
  <c r="C68" i="70"/>
  <c r="C67" i="70"/>
  <c r="D66" i="70"/>
  <c r="C65" i="70"/>
  <c r="C64" i="70"/>
  <c r="D63" i="70"/>
  <c r="D62" i="70"/>
  <c r="C62" i="70"/>
  <c r="D61" i="70"/>
  <c r="C61" i="70"/>
  <c r="D60" i="70"/>
  <c r="C60" i="70"/>
  <c r="D59" i="70"/>
  <c r="C59" i="70"/>
  <c r="C57" i="70"/>
  <c r="D56" i="70"/>
  <c r="C56" i="70"/>
  <c r="D55" i="70"/>
  <c r="D54" i="70"/>
  <c r="C54" i="70"/>
  <c r="D53" i="70"/>
  <c r="C53" i="70"/>
  <c r="D52" i="70"/>
  <c r="C52" i="70"/>
  <c r="D51" i="70"/>
  <c r="C51" i="70"/>
  <c r="C49" i="70"/>
  <c r="D48" i="70"/>
  <c r="C48" i="70"/>
  <c r="D47" i="70"/>
  <c r="D46" i="70"/>
  <c r="C46" i="70"/>
  <c r="D45" i="70"/>
  <c r="C45" i="70"/>
  <c r="D44" i="70"/>
  <c r="C44" i="70"/>
  <c r="D43" i="70"/>
  <c r="C43" i="70"/>
  <c r="C41" i="70"/>
  <c r="D40" i="70"/>
  <c r="C40" i="70"/>
  <c r="D39" i="70"/>
  <c r="C39" i="70"/>
  <c r="D36" i="70"/>
  <c r="D35" i="70"/>
  <c r="C35" i="70"/>
  <c r="D34" i="70"/>
  <c r="C34" i="70"/>
  <c r="C33" i="70"/>
  <c r="C32" i="70"/>
  <c r="D31" i="70"/>
  <c r="C31" i="70"/>
  <c r="D30" i="70"/>
  <c r="D29" i="70"/>
  <c r="D28" i="70"/>
  <c r="C28" i="70"/>
  <c r="D27" i="70"/>
  <c r="C27" i="70"/>
  <c r="D26" i="70"/>
  <c r="C26" i="70"/>
  <c r="C25" i="70"/>
  <c r="D23" i="70"/>
  <c r="C23" i="70"/>
  <c r="D22" i="70"/>
  <c r="D15" i="70"/>
  <c r="E15" i="70" s="1"/>
  <c r="D11" i="70"/>
  <c r="D9" i="70"/>
  <c r="E9" i="70" s="1"/>
  <c r="D5" i="70"/>
  <c r="C38" i="70" l="1"/>
  <c r="H72" i="71"/>
  <c r="H83" i="71" s="1"/>
  <c r="H85" i="71" s="1"/>
  <c r="N36" i="71"/>
  <c r="N4" i="71"/>
  <c r="L49" i="71"/>
  <c r="C7" i="70" s="1"/>
  <c r="E7" i="70" s="1"/>
  <c r="D83" i="71"/>
  <c r="D85" i="71" s="1"/>
  <c r="C145" i="73"/>
  <c r="J54" i="73"/>
  <c r="C21" i="70"/>
  <c r="D13" i="70"/>
  <c r="D38" i="70"/>
  <c r="D21" i="70"/>
  <c r="D18" i="70" s="1"/>
  <c r="C72" i="70"/>
  <c r="C5" i="70"/>
  <c r="F83" i="71"/>
  <c r="F85" i="71" s="1"/>
  <c r="L70" i="71"/>
  <c r="C11" i="70" s="1"/>
  <c r="E11" i="70" s="1"/>
  <c r="C83" i="71"/>
  <c r="J51" i="73"/>
  <c r="C85" i="71" l="1"/>
  <c r="L83" i="71"/>
  <c r="C18" i="70"/>
  <c r="E18" i="70" s="1"/>
  <c r="E13" i="70"/>
  <c r="D17" i="70"/>
  <c r="C147" i="73"/>
  <c r="J147" i="73" s="1"/>
  <c r="J145" i="73"/>
  <c r="C13" i="70"/>
  <c r="C17" i="70" s="1"/>
  <c r="E5" i="70"/>
  <c r="L72" i="71"/>
  <c r="E17" i="70" l="1"/>
  <c r="D19" i="70"/>
  <c r="L85" i="71"/>
  <c r="M83" i="71"/>
  <c r="C19" i="70"/>
  <c r="E19" i="70" l="1"/>
  <c r="J149" i="68" l="1"/>
  <c r="J146" i="68"/>
  <c r="I144" i="68"/>
  <c r="H144" i="68"/>
  <c r="G144" i="68"/>
  <c r="F144" i="68"/>
  <c r="E144" i="68"/>
  <c r="D144" i="68"/>
  <c r="C144" i="68"/>
  <c r="J144" i="68" s="1"/>
  <c r="J143" i="68"/>
  <c r="J142" i="68"/>
  <c r="J141" i="68"/>
  <c r="J140" i="68"/>
  <c r="J139" i="68"/>
  <c r="J138" i="68"/>
  <c r="J137" i="68"/>
  <c r="J136" i="68"/>
  <c r="J135" i="68"/>
  <c r="J134" i="68"/>
  <c r="J133" i="68"/>
  <c r="J132" i="68"/>
  <c r="J131" i="68"/>
  <c r="J130" i="68"/>
  <c r="J129" i="68"/>
  <c r="J127" i="68"/>
  <c r="J126" i="68"/>
  <c r="J125" i="68"/>
  <c r="J124" i="68"/>
  <c r="J123" i="68"/>
  <c r="J122" i="68"/>
  <c r="D136" i="65" s="1"/>
  <c r="J121" i="68"/>
  <c r="J120" i="68"/>
  <c r="J119" i="68"/>
  <c r="J118" i="68"/>
  <c r="J117" i="68"/>
  <c r="J116" i="68"/>
  <c r="J115" i="68"/>
  <c r="J114" i="68"/>
  <c r="D128" i="65" s="1"/>
  <c r="J113" i="68"/>
  <c r="J112" i="68"/>
  <c r="J111" i="68"/>
  <c r="J110" i="68"/>
  <c r="J109" i="68"/>
  <c r="J108" i="68"/>
  <c r="J107" i="68"/>
  <c r="J106" i="68"/>
  <c r="D120" i="65" s="1"/>
  <c r="J105" i="68"/>
  <c r="J104" i="68"/>
  <c r="J103" i="68"/>
  <c r="J102" i="68"/>
  <c r="J101" i="68"/>
  <c r="J100" i="68"/>
  <c r="J99" i="68"/>
  <c r="J98" i="68"/>
  <c r="D112" i="65" s="1"/>
  <c r="J97" i="68"/>
  <c r="J96" i="68"/>
  <c r="J95" i="68"/>
  <c r="J94" i="68"/>
  <c r="J93" i="68"/>
  <c r="J92" i="68"/>
  <c r="J91" i="68"/>
  <c r="J90" i="68"/>
  <c r="D104" i="65" s="1"/>
  <c r="J89" i="68"/>
  <c r="J88" i="68"/>
  <c r="J87" i="68"/>
  <c r="J86" i="68"/>
  <c r="J85" i="68"/>
  <c r="J84" i="68"/>
  <c r="J83" i="68"/>
  <c r="J82" i="68"/>
  <c r="D96" i="65" s="1"/>
  <c r="J81" i="68"/>
  <c r="J80" i="68"/>
  <c r="J79" i="68"/>
  <c r="J78" i="68"/>
  <c r="J77" i="68"/>
  <c r="J76" i="68"/>
  <c r="J75" i="68"/>
  <c r="J74" i="68"/>
  <c r="D88" i="65" s="1"/>
  <c r="J73" i="68"/>
  <c r="J72" i="68"/>
  <c r="J71" i="68"/>
  <c r="J70" i="68"/>
  <c r="J69" i="68"/>
  <c r="J68" i="68"/>
  <c r="J67" i="68"/>
  <c r="J66" i="68"/>
  <c r="D80" i="65" s="1"/>
  <c r="J65" i="68"/>
  <c r="J64" i="68"/>
  <c r="J63" i="68"/>
  <c r="J62" i="68"/>
  <c r="J61" i="68"/>
  <c r="J60" i="68"/>
  <c r="J59" i="68"/>
  <c r="J58" i="68"/>
  <c r="D72" i="65" s="1"/>
  <c r="J57" i="68"/>
  <c r="J56" i="68"/>
  <c r="E54" i="68"/>
  <c r="E145" i="68" s="1"/>
  <c r="E147" i="68" s="1"/>
  <c r="D54" i="68"/>
  <c r="D145" i="68" s="1"/>
  <c r="D147" i="68" s="1"/>
  <c r="C54" i="68"/>
  <c r="C145" i="68" s="1"/>
  <c r="J53" i="68"/>
  <c r="J52" i="68"/>
  <c r="I51" i="68"/>
  <c r="I54" i="68" s="1"/>
  <c r="I145" i="68" s="1"/>
  <c r="I147" i="68" s="1"/>
  <c r="H51" i="68"/>
  <c r="H54" i="68" s="1"/>
  <c r="H145" i="68" s="1"/>
  <c r="H147" i="68" s="1"/>
  <c r="G51" i="68"/>
  <c r="G54" i="68" s="1"/>
  <c r="G145" i="68" s="1"/>
  <c r="G147" i="68" s="1"/>
  <c r="F51" i="68"/>
  <c r="J51" i="68" s="1"/>
  <c r="E51" i="68"/>
  <c r="D51" i="68"/>
  <c r="C51" i="68"/>
  <c r="J50" i="68"/>
  <c r="J49" i="68"/>
  <c r="J48" i="68"/>
  <c r="J47" i="68"/>
  <c r="J46" i="68"/>
  <c r="J45" i="68"/>
  <c r="J44" i="68"/>
  <c r="J43" i="68"/>
  <c r="J42" i="68"/>
  <c r="J41" i="68"/>
  <c r="J40" i="68"/>
  <c r="J39" i="68"/>
  <c r="J38" i="68"/>
  <c r="J37" i="68"/>
  <c r="J36" i="68"/>
  <c r="J35" i="68"/>
  <c r="J34" i="68"/>
  <c r="J33" i="68"/>
  <c r="J32" i="68"/>
  <c r="J31" i="68"/>
  <c r="J30" i="68"/>
  <c r="J29" i="68"/>
  <c r="J28" i="68"/>
  <c r="J27" i="68"/>
  <c r="J26" i="68"/>
  <c r="J25" i="68"/>
  <c r="J24" i="68"/>
  <c r="J23" i="68"/>
  <c r="J22" i="68"/>
  <c r="J21" i="68"/>
  <c r="J20" i="68"/>
  <c r="J18" i="68"/>
  <c r="J17" i="68"/>
  <c r="J16" i="68"/>
  <c r="J15" i="68"/>
  <c r="J14" i="68"/>
  <c r="D33" i="65" s="1"/>
  <c r="J13" i="68"/>
  <c r="J12" i="68"/>
  <c r="J11" i="68"/>
  <c r="J10" i="68"/>
  <c r="J9" i="68"/>
  <c r="J8" i="68"/>
  <c r="J7" i="68"/>
  <c r="J6" i="68"/>
  <c r="D25" i="65" s="1"/>
  <c r="J5" i="68"/>
  <c r="J4" i="68"/>
  <c r="J3" i="68"/>
  <c r="G81" i="67"/>
  <c r="C81" i="67"/>
  <c r="B149" i="68" s="1"/>
  <c r="H79" i="67"/>
  <c r="G79" i="67"/>
  <c r="F79" i="67"/>
  <c r="E79" i="67"/>
  <c r="D79" i="67"/>
  <c r="H71" i="67"/>
  <c r="D15" i="65" s="1"/>
  <c r="G71" i="67"/>
  <c r="F71" i="67"/>
  <c r="E71" i="67"/>
  <c r="D71" i="67"/>
  <c r="H67" i="67"/>
  <c r="G67" i="67"/>
  <c r="F67" i="67"/>
  <c r="E67" i="67"/>
  <c r="D67" i="67"/>
  <c r="H57" i="67"/>
  <c r="G57" i="67"/>
  <c r="F57" i="67"/>
  <c r="E57" i="67"/>
  <c r="D57" i="67"/>
  <c r="H49" i="67"/>
  <c r="G49" i="67"/>
  <c r="G74" i="67" s="1"/>
  <c r="F49" i="67"/>
  <c r="F74" i="67" s="1"/>
  <c r="E49" i="67"/>
  <c r="D49" i="67"/>
  <c r="H33" i="67"/>
  <c r="H74" i="67" s="1"/>
  <c r="G33" i="67"/>
  <c r="F33" i="67"/>
  <c r="E33" i="67"/>
  <c r="E74" i="67" s="1"/>
  <c r="D33" i="67"/>
  <c r="D74" i="67" s="1"/>
  <c r="O222" i="66"/>
  <c r="O221" i="66"/>
  <c r="O220" i="66"/>
  <c r="O219" i="66"/>
  <c r="O218" i="66"/>
  <c r="O217" i="66"/>
  <c r="O216" i="66"/>
  <c r="O215" i="66"/>
  <c r="C150" i="65" s="1"/>
  <c r="O214" i="66"/>
  <c r="O213" i="66"/>
  <c r="O212" i="66"/>
  <c r="O211" i="66"/>
  <c r="O210" i="66"/>
  <c r="O209" i="66"/>
  <c r="O208" i="66"/>
  <c r="O207" i="66"/>
  <c r="O206" i="66"/>
  <c r="O205" i="66"/>
  <c r="O204" i="66"/>
  <c r="O203" i="66"/>
  <c r="O202" i="66"/>
  <c r="O201" i="66"/>
  <c r="O200" i="66"/>
  <c r="O199" i="66"/>
  <c r="C134" i="65" s="1"/>
  <c r="O198" i="66"/>
  <c r="O197" i="66"/>
  <c r="O196" i="66"/>
  <c r="O195" i="66"/>
  <c r="O194" i="66"/>
  <c r="O193" i="66"/>
  <c r="O192" i="66"/>
  <c r="O191" i="66"/>
  <c r="C127" i="65" s="1"/>
  <c r="O190" i="66"/>
  <c r="O189" i="66"/>
  <c r="O188" i="66"/>
  <c r="O187" i="66"/>
  <c r="O186" i="66"/>
  <c r="O185" i="66"/>
  <c r="O184" i="66"/>
  <c r="O183" i="66"/>
  <c r="C119" i="65" s="1"/>
  <c r="O182" i="66"/>
  <c r="O181" i="66"/>
  <c r="O180" i="66"/>
  <c r="O179" i="66"/>
  <c r="O178" i="66"/>
  <c r="O177" i="66"/>
  <c r="O176" i="66"/>
  <c r="O175" i="66"/>
  <c r="C111" i="65" s="1"/>
  <c r="O174" i="66"/>
  <c r="O173" i="66"/>
  <c r="O172" i="66"/>
  <c r="O171" i="66"/>
  <c r="O170" i="66"/>
  <c r="O169" i="66"/>
  <c r="O168" i="66"/>
  <c r="O167" i="66"/>
  <c r="C103" i="65" s="1"/>
  <c r="O166" i="66"/>
  <c r="O165" i="66"/>
  <c r="O164" i="66"/>
  <c r="O163" i="66"/>
  <c r="O162" i="66"/>
  <c r="O161" i="66"/>
  <c r="O160" i="66"/>
  <c r="O159" i="66"/>
  <c r="C95" i="65" s="1"/>
  <c r="O158" i="66"/>
  <c r="O157" i="66"/>
  <c r="O156" i="66"/>
  <c r="O155" i="66"/>
  <c r="O154" i="66"/>
  <c r="O153" i="66"/>
  <c r="O152" i="66"/>
  <c r="O151" i="66"/>
  <c r="C87" i="65" s="1"/>
  <c r="O150" i="66"/>
  <c r="O149" i="66"/>
  <c r="O148" i="66"/>
  <c r="O147" i="66"/>
  <c r="O146" i="66"/>
  <c r="O145" i="66"/>
  <c r="O144" i="66"/>
  <c r="O143" i="66"/>
  <c r="C79" i="65" s="1"/>
  <c r="O142" i="66"/>
  <c r="O141" i="66"/>
  <c r="O140" i="66"/>
  <c r="O139" i="66"/>
  <c r="O138" i="66"/>
  <c r="O137" i="66"/>
  <c r="O136" i="66"/>
  <c r="O135" i="66"/>
  <c r="C71" i="65" s="1"/>
  <c r="C69" i="65" s="1"/>
  <c r="O134" i="66"/>
  <c r="O131" i="66"/>
  <c r="O130" i="66"/>
  <c r="O129" i="66"/>
  <c r="O128" i="66"/>
  <c r="O127" i="66"/>
  <c r="O126" i="66"/>
  <c r="O125" i="66"/>
  <c r="C59" i="65" s="1"/>
  <c r="O124" i="66"/>
  <c r="O123" i="66"/>
  <c r="O122" i="66"/>
  <c r="O121" i="66"/>
  <c r="O120" i="66"/>
  <c r="O119" i="66"/>
  <c r="O118" i="66"/>
  <c r="O117" i="66"/>
  <c r="C51" i="65" s="1"/>
  <c r="O116" i="66"/>
  <c r="O115" i="66"/>
  <c r="O114" i="66"/>
  <c r="O113" i="66"/>
  <c r="O112" i="66"/>
  <c r="O111" i="66"/>
  <c r="O110" i="66"/>
  <c r="O109" i="66"/>
  <c r="C43" i="65" s="1"/>
  <c r="O108" i="66"/>
  <c r="O107" i="66"/>
  <c r="O106" i="66"/>
  <c r="O105" i="66"/>
  <c r="O104" i="66"/>
  <c r="O103" i="66"/>
  <c r="O102" i="66"/>
  <c r="O101" i="66"/>
  <c r="C35" i="65" s="1"/>
  <c r="O100" i="66"/>
  <c r="O99" i="66"/>
  <c r="O98" i="66"/>
  <c r="O97" i="66"/>
  <c r="O96" i="66"/>
  <c r="O95" i="66"/>
  <c r="O94" i="66"/>
  <c r="O93" i="66"/>
  <c r="C28" i="65" s="1"/>
  <c r="C21" i="65" s="1"/>
  <c r="O92" i="66"/>
  <c r="O91" i="66"/>
  <c r="O90" i="66"/>
  <c r="O89" i="66"/>
  <c r="O88" i="66"/>
  <c r="O87" i="66"/>
  <c r="N83" i="66"/>
  <c r="M83" i="66"/>
  <c r="L83" i="66"/>
  <c r="K83" i="66"/>
  <c r="J83" i="66"/>
  <c r="I83" i="66"/>
  <c r="H83" i="66"/>
  <c r="G83" i="66"/>
  <c r="F83" i="66"/>
  <c r="E83" i="66"/>
  <c r="D83" i="66"/>
  <c r="C83" i="66"/>
  <c r="O83" i="66" s="1"/>
  <c r="N80" i="66"/>
  <c r="M80" i="66"/>
  <c r="L80" i="66"/>
  <c r="K80" i="66"/>
  <c r="J80" i="66"/>
  <c r="I80" i="66"/>
  <c r="H80" i="66"/>
  <c r="G80" i="66"/>
  <c r="G82" i="66" s="1"/>
  <c r="G84" i="66" s="1"/>
  <c r="F80" i="66"/>
  <c r="E80" i="66"/>
  <c r="D80" i="66"/>
  <c r="C80" i="66"/>
  <c r="O80" i="66" s="1"/>
  <c r="C15" i="65" s="1"/>
  <c r="P78" i="66"/>
  <c r="O78" i="66"/>
  <c r="P77" i="66"/>
  <c r="O77" i="66"/>
  <c r="P76" i="66"/>
  <c r="O76" i="66"/>
  <c r="P75" i="66"/>
  <c r="O75" i="66"/>
  <c r="P74" i="66"/>
  <c r="O74" i="66"/>
  <c r="P73" i="66"/>
  <c r="O73" i="66"/>
  <c r="G71" i="66"/>
  <c r="N69" i="66"/>
  <c r="N71" i="66" s="1"/>
  <c r="M69" i="66"/>
  <c r="M71" i="66" s="1"/>
  <c r="L69" i="66"/>
  <c r="L71" i="66" s="1"/>
  <c r="L82" i="66" s="1"/>
  <c r="L84" i="66" s="1"/>
  <c r="K69" i="66"/>
  <c r="K71" i="66" s="1"/>
  <c r="K82" i="66" s="1"/>
  <c r="K84" i="66" s="1"/>
  <c r="J69" i="66"/>
  <c r="I69" i="66"/>
  <c r="H69" i="66"/>
  <c r="H71" i="66" s="1"/>
  <c r="G69" i="66"/>
  <c r="F69" i="66"/>
  <c r="F71" i="66" s="1"/>
  <c r="E69" i="66"/>
  <c r="E71" i="66" s="1"/>
  <c r="D69" i="66"/>
  <c r="D71" i="66" s="1"/>
  <c r="D82" i="66" s="1"/>
  <c r="D84" i="66" s="1"/>
  <c r="C69" i="66"/>
  <c r="C71" i="66" s="1"/>
  <c r="C82" i="66" s="1"/>
  <c r="P67" i="66"/>
  <c r="N66" i="66"/>
  <c r="P66" i="66" s="1"/>
  <c r="P65" i="66"/>
  <c r="P64" i="66"/>
  <c r="N62" i="66"/>
  <c r="M62" i="66"/>
  <c r="L62" i="66"/>
  <c r="K62" i="66"/>
  <c r="J62" i="66"/>
  <c r="J71" i="66" s="1"/>
  <c r="I62" i="66"/>
  <c r="H62" i="66"/>
  <c r="G62" i="66"/>
  <c r="F62" i="66"/>
  <c r="E62" i="66"/>
  <c r="D62" i="66"/>
  <c r="C62" i="66"/>
  <c r="O62" i="66" s="1"/>
  <c r="C9" i="65" s="1"/>
  <c r="P60" i="66"/>
  <c r="O60" i="66"/>
  <c r="P59" i="66"/>
  <c r="O59" i="66"/>
  <c r="P58" i="66"/>
  <c r="O58" i="66"/>
  <c r="P57" i="66"/>
  <c r="O57" i="66"/>
  <c r="P56" i="66"/>
  <c r="O56" i="66"/>
  <c r="P55" i="66"/>
  <c r="O55" i="66"/>
  <c r="P54" i="66"/>
  <c r="O54" i="66"/>
  <c r="P53" i="66"/>
  <c r="O53" i="66"/>
  <c r="P52" i="66"/>
  <c r="O52" i="66"/>
  <c r="P51" i="66"/>
  <c r="O51" i="66"/>
  <c r="P50" i="66"/>
  <c r="O50" i="66"/>
  <c r="N48" i="66"/>
  <c r="M48" i="66"/>
  <c r="L48" i="66"/>
  <c r="K48" i="66"/>
  <c r="J48" i="66"/>
  <c r="I48" i="66"/>
  <c r="I71" i="66" s="1"/>
  <c r="I82" i="66" s="1"/>
  <c r="I84" i="66" s="1"/>
  <c r="H48" i="66"/>
  <c r="G48" i="66"/>
  <c r="F48" i="66"/>
  <c r="E48" i="66"/>
  <c r="D48" i="66"/>
  <c r="C48" i="66"/>
  <c r="O48" i="66" s="1"/>
  <c r="C7" i="65" s="1"/>
  <c r="E7" i="65" s="1"/>
  <c r="P46" i="66"/>
  <c r="O46" i="66"/>
  <c r="P45" i="66"/>
  <c r="O45" i="66"/>
  <c r="P44" i="66"/>
  <c r="O44" i="66"/>
  <c r="P43" i="66"/>
  <c r="O43" i="66"/>
  <c r="P42" i="66"/>
  <c r="O42" i="66"/>
  <c r="P41" i="66"/>
  <c r="O41" i="66"/>
  <c r="P40" i="66"/>
  <c r="O40" i="66"/>
  <c r="P39" i="66"/>
  <c r="O39" i="66"/>
  <c r="P38" i="66"/>
  <c r="O38" i="66"/>
  <c r="P37" i="66"/>
  <c r="O37" i="66"/>
  <c r="N35" i="66"/>
  <c r="M35" i="66"/>
  <c r="L35" i="66"/>
  <c r="K35" i="66"/>
  <c r="J35" i="66"/>
  <c r="I35" i="66"/>
  <c r="H35" i="66"/>
  <c r="G35" i="66"/>
  <c r="F35" i="66"/>
  <c r="E35" i="66"/>
  <c r="D35" i="66"/>
  <c r="C35" i="66"/>
  <c r="O35" i="66" s="1"/>
  <c r="P33" i="66"/>
  <c r="O33" i="66"/>
  <c r="P32" i="66"/>
  <c r="O32" i="66"/>
  <c r="P31" i="66"/>
  <c r="O31" i="66"/>
  <c r="P30" i="66"/>
  <c r="O30" i="66"/>
  <c r="P29" i="66"/>
  <c r="O29" i="66"/>
  <c r="P28" i="66"/>
  <c r="O28" i="66"/>
  <c r="P27" i="66"/>
  <c r="O27" i="66"/>
  <c r="P26" i="66"/>
  <c r="O26" i="66"/>
  <c r="P25" i="66"/>
  <c r="O25" i="66"/>
  <c r="P24" i="66"/>
  <c r="O24" i="66"/>
  <c r="P23" i="66"/>
  <c r="O23" i="66"/>
  <c r="P22" i="66"/>
  <c r="O22" i="66"/>
  <c r="P21" i="66"/>
  <c r="O21" i="66"/>
  <c r="P20" i="66"/>
  <c r="O20" i="66"/>
  <c r="P19" i="66"/>
  <c r="O19" i="66"/>
  <c r="P18" i="66"/>
  <c r="O18" i="66"/>
  <c r="P17" i="66"/>
  <c r="O17" i="66"/>
  <c r="P16" i="66"/>
  <c r="O16" i="66"/>
  <c r="P15" i="66"/>
  <c r="O15" i="66"/>
  <c r="P14" i="66"/>
  <c r="O14" i="66"/>
  <c r="P13" i="66"/>
  <c r="O13" i="66"/>
  <c r="P12" i="66"/>
  <c r="Q12" i="66" s="1"/>
  <c r="O12" i="66"/>
  <c r="Q11" i="66"/>
  <c r="P11" i="66"/>
  <c r="O11" i="66"/>
  <c r="Q10" i="66"/>
  <c r="P10" i="66"/>
  <c r="O10" i="66"/>
  <c r="Q9" i="66"/>
  <c r="P9" i="66"/>
  <c r="O9" i="66"/>
  <c r="P8" i="66"/>
  <c r="Q8" i="66" s="1"/>
  <c r="O8" i="66"/>
  <c r="Q7" i="66"/>
  <c r="P7" i="66"/>
  <c r="O7" i="66"/>
  <c r="P6" i="66"/>
  <c r="Q6" i="66" s="1"/>
  <c r="O6" i="66"/>
  <c r="Q5" i="66"/>
  <c r="P5" i="66"/>
  <c r="O5" i="66"/>
  <c r="D158" i="65"/>
  <c r="B158" i="65"/>
  <c r="D157" i="65"/>
  <c r="C157" i="65"/>
  <c r="D156" i="65"/>
  <c r="C156" i="65"/>
  <c r="D155" i="65"/>
  <c r="C155" i="65"/>
  <c r="D154" i="65"/>
  <c r="C154" i="65"/>
  <c r="D153" i="65"/>
  <c r="C153" i="65"/>
  <c r="D152" i="65"/>
  <c r="C152" i="65"/>
  <c r="D151" i="65"/>
  <c r="C151" i="65"/>
  <c r="D150" i="65"/>
  <c r="D149" i="65"/>
  <c r="C149" i="65"/>
  <c r="D148" i="65"/>
  <c r="C148" i="65"/>
  <c r="D147" i="65"/>
  <c r="C147" i="65"/>
  <c r="D146" i="65"/>
  <c r="C146" i="65"/>
  <c r="D145" i="65"/>
  <c r="C145" i="65"/>
  <c r="D144" i="65"/>
  <c r="C144" i="65"/>
  <c r="D143" i="65"/>
  <c r="C143" i="65"/>
  <c r="D142" i="65"/>
  <c r="D141" i="65"/>
  <c r="C141" i="65"/>
  <c r="D140" i="65"/>
  <c r="C140" i="65"/>
  <c r="D139" i="65"/>
  <c r="C139" i="65"/>
  <c r="D138" i="65"/>
  <c r="C138" i="65"/>
  <c r="D137" i="65"/>
  <c r="C137" i="65"/>
  <c r="C136" i="65"/>
  <c r="D135" i="65"/>
  <c r="C135" i="65"/>
  <c r="D134" i="65"/>
  <c r="D133" i="65"/>
  <c r="C133" i="65"/>
  <c r="D132" i="65"/>
  <c r="C132" i="65"/>
  <c r="D131" i="65"/>
  <c r="C131" i="65"/>
  <c r="D130" i="65"/>
  <c r="C130" i="65"/>
  <c r="D129" i="65"/>
  <c r="C129" i="65"/>
  <c r="C128" i="65"/>
  <c r="D127" i="65"/>
  <c r="D126" i="65"/>
  <c r="C126" i="65"/>
  <c r="D125" i="65"/>
  <c r="C125" i="65"/>
  <c r="D124" i="65"/>
  <c r="C124" i="65"/>
  <c r="D123" i="65"/>
  <c r="C123" i="65"/>
  <c r="D122" i="65"/>
  <c r="C122" i="65"/>
  <c r="D121" i="65"/>
  <c r="C121" i="65"/>
  <c r="C120" i="65"/>
  <c r="D119" i="65"/>
  <c r="D118" i="65"/>
  <c r="C118" i="65"/>
  <c r="D117" i="65"/>
  <c r="C117" i="65"/>
  <c r="D116" i="65"/>
  <c r="C116" i="65"/>
  <c r="D115" i="65"/>
  <c r="C115" i="65"/>
  <c r="D114" i="65"/>
  <c r="C114" i="65"/>
  <c r="D113" i="65"/>
  <c r="C113" i="65"/>
  <c r="C112" i="65"/>
  <c r="D111" i="65"/>
  <c r="D110" i="65"/>
  <c r="C110" i="65"/>
  <c r="D109" i="65"/>
  <c r="C109" i="65"/>
  <c r="D108" i="65"/>
  <c r="C108" i="65"/>
  <c r="D107" i="65"/>
  <c r="C107" i="65"/>
  <c r="D106" i="65"/>
  <c r="C106" i="65"/>
  <c r="D105" i="65"/>
  <c r="C105" i="65"/>
  <c r="C104" i="65"/>
  <c r="D103" i="65"/>
  <c r="D102" i="65"/>
  <c r="C102" i="65"/>
  <c r="D101" i="65"/>
  <c r="C101" i="65"/>
  <c r="D100" i="65"/>
  <c r="C100" i="65"/>
  <c r="D99" i="65"/>
  <c r="C99" i="65"/>
  <c r="D98" i="65"/>
  <c r="C98" i="65"/>
  <c r="D97" i="65"/>
  <c r="C97" i="65"/>
  <c r="C96" i="65"/>
  <c r="D95" i="65"/>
  <c r="D94" i="65"/>
  <c r="C94" i="65"/>
  <c r="D93" i="65"/>
  <c r="C93" i="65"/>
  <c r="D92" i="65"/>
  <c r="C92" i="65"/>
  <c r="D91" i="65"/>
  <c r="C91" i="65"/>
  <c r="D90" i="65"/>
  <c r="C90" i="65"/>
  <c r="D89" i="65"/>
  <c r="C89" i="65"/>
  <c r="C88" i="65"/>
  <c r="D87" i="65"/>
  <c r="D86" i="65"/>
  <c r="C86" i="65"/>
  <c r="D85" i="65"/>
  <c r="C85" i="65"/>
  <c r="D84" i="65"/>
  <c r="C84" i="65"/>
  <c r="D83" i="65"/>
  <c r="C83" i="65"/>
  <c r="D82" i="65"/>
  <c r="C82" i="65"/>
  <c r="D81" i="65"/>
  <c r="C81" i="65"/>
  <c r="C80" i="65"/>
  <c r="D79" i="65"/>
  <c r="D78" i="65"/>
  <c r="C78" i="65"/>
  <c r="D77" i="65"/>
  <c r="C77" i="65"/>
  <c r="D76" i="65"/>
  <c r="C76" i="65"/>
  <c r="D75" i="65"/>
  <c r="C75" i="65"/>
  <c r="D74" i="65"/>
  <c r="C74" i="65"/>
  <c r="D73" i="65"/>
  <c r="C73" i="65"/>
  <c r="C72" i="65"/>
  <c r="D71" i="65"/>
  <c r="D69" i="65" s="1"/>
  <c r="D70" i="65"/>
  <c r="C70" i="65"/>
  <c r="D67" i="65"/>
  <c r="B67" i="65"/>
  <c r="D65" i="65"/>
  <c r="C65" i="65"/>
  <c r="D64" i="65"/>
  <c r="C64" i="65"/>
  <c r="D63" i="65"/>
  <c r="C63" i="65"/>
  <c r="D62" i="65"/>
  <c r="C62" i="65"/>
  <c r="D61" i="65"/>
  <c r="C61" i="65"/>
  <c r="D60" i="65"/>
  <c r="C60" i="65"/>
  <c r="D59" i="65"/>
  <c r="D58" i="65"/>
  <c r="C58" i="65"/>
  <c r="D57" i="65"/>
  <c r="C57" i="65"/>
  <c r="D56" i="65"/>
  <c r="C56" i="65"/>
  <c r="D55" i="65"/>
  <c r="C55" i="65"/>
  <c r="D54" i="65"/>
  <c r="C54" i="65"/>
  <c r="D53" i="65"/>
  <c r="C53" i="65"/>
  <c r="D52" i="65"/>
  <c r="C52" i="65"/>
  <c r="D51" i="65"/>
  <c r="D50" i="65"/>
  <c r="C50" i="65"/>
  <c r="D49" i="65"/>
  <c r="C49" i="65"/>
  <c r="D48" i="65"/>
  <c r="C48" i="65"/>
  <c r="D47" i="65"/>
  <c r="C47" i="65"/>
  <c r="D46" i="65"/>
  <c r="C46" i="65"/>
  <c r="D45" i="65"/>
  <c r="C45" i="65"/>
  <c r="D44" i="65"/>
  <c r="C44" i="65"/>
  <c r="D43" i="65"/>
  <c r="D42" i="65"/>
  <c r="C42" i="65"/>
  <c r="D41" i="65"/>
  <c r="C41" i="65"/>
  <c r="D40" i="65"/>
  <c r="C40" i="65"/>
  <c r="D39" i="65"/>
  <c r="D38" i="65" s="1"/>
  <c r="C39" i="65"/>
  <c r="D36" i="65"/>
  <c r="C36" i="65"/>
  <c r="D35" i="65"/>
  <c r="D34" i="65"/>
  <c r="C34" i="65"/>
  <c r="C33" i="65"/>
  <c r="D32" i="65"/>
  <c r="C32" i="65"/>
  <c r="D31" i="65"/>
  <c r="C31" i="65"/>
  <c r="D30" i="65"/>
  <c r="C30" i="65"/>
  <c r="D29" i="65"/>
  <c r="C29" i="65"/>
  <c r="D28" i="65"/>
  <c r="D27" i="65"/>
  <c r="C27" i="65"/>
  <c r="D26" i="65"/>
  <c r="C26" i="65"/>
  <c r="C25" i="65"/>
  <c r="D24" i="65"/>
  <c r="C24" i="65"/>
  <c r="D23" i="65"/>
  <c r="C23" i="65"/>
  <c r="D22" i="65"/>
  <c r="C22" i="65"/>
  <c r="D11" i="65"/>
  <c r="D13" i="65" s="1"/>
  <c r="D9" i="65"/>
  <c r="E9" i="65" s="1"/>
  <c r="D7" i="65"/>
  <c r="D5" i="65"/>
  <c r="E82" i="66" l="1"/>
  <c r="E84" i="66" s="1"/>
  <c r="M82" i="66"/>
  <c r="M84" i="66" s="1"/>
  <c r="N82" i="66"/>
  <c r="N84" i="66" s="1"/>
  <c r="F82" i="66"/>
  <c r="F84" i="66" s="1"/>
  <c r="D21" i="65"/>
  <c r="D18" i="65" s="1"/>
  <c r="C5" i="65"/>
  <c r="O71" i="66"/>
  <c r="H82" i="66"/>
  <c r="H84" i="66" s="1"/>
  <c r="C38" i="65"/>
  <c r="E15" i="65"/>
  <c r="C147" i="68"/>
  <c r="C84" i="66"/>
  <c r="J82" i="66"/>
  <c r="J84" i="66" s="1"/>
  <c r="C18" i="65"/>
  <c r="D17" i="65"/>
  <c r="Q35" i="66"/>
  <c r="F54" i="68"/>
  <c r="F145" i="68" s="1"/>
  <c r="F147" i="68" s="1"/>
  <c r="O69" i="66"/>
  <c r="C11" i="65" s="1"/>
  <c r="Q4" i="66"/>
  <c r="J54" i="68"/>
  <c r="E11" i="65"/>
  <c r="E5" i="65" l="1"/>
  <c r="C13" i="65"/>
  <c r="O82" i="66"/>
  <c r="E18" i="65"/>
  <c r="J145" i="68"/>
  <c r="J147" i="68"/>
  <c r="D19" i="65"/>
  <c r="C17" i="65" l="1"/>
  <c r="E13" i="65"/>
  <c r="P82" i="66"/>
  <c r="O84" i="66"/>
  <c r="C19" i="65" l="1"/>
  <c r="E19" i="65" s="1"/>
  <c r="E17" i="65"/>
  <c r="J152" i="63" l="1"/>
  <c r="I144" i="63"/>
  <c r="H144" i="63"/>
  <c r="G144" i="63"/>
  <c r="F144" i="63"/>
  <c r="E144" i="63"/>
  <c r="D144" i="63"/>
  <c r="C144" i="63"/>
  <c r="J143" i="63"/>
  <c r="D157" i="60" s="1"/>
  <c r="J142" i="63"/>
  <c r="D156" i="60" s="1"/>
  <c r="J141" i="63"/>
  <c r="J140" i="63"/>
  <c r="J139" i="63"/>
  <c r="D153" i="60" s="1"/>
  <c r="J138" i="63"/>
  <c r="D152" i="60" s="1"/>
  <c r="J137" i="63"/>
  <c r="J136" i="63"/>
  <c r="J135" i="63"/>
  <c r="D149" i="60" s="1"/>
  <c r="J134" i="63"/>
  <c r="D148" i="60" s="1"/>
  <c r="J133" i="63"/>
  <c r="J132" i="63"/>
  <c r="J131" i="63"/>
  <c r="D145" i="60" s="1"/>
  <c r="J130" i="63"/>
  <c r="D144" i="60" s="1"/>
  <c r="J129" i="63"/>
  <c r="J127" i="63"/>
  <c r="J126" i="63"/>
  <c r="D140" i="60" s="1"/>
  <c r="J125" i="63"/>
  <c r="J124" i="63"/>
  <c r="J123" i="63"/>
  <c r="J122" i="63"/>
  <c r="D136" i="60" s="1"/>
  <c r="J121" i="63"/>
  <c r="D135" i="60" s="1"/>
  <c r="J120" i="63"/>
  <c r="J119" i="63"/>
  <c r="J118" i="63"/>
  <c r="D132" i="60" s="1"/>
  <c r="J117" i="63"/>
  <c r="J116" i="63"/>
  <c r="J115" i="63"/>
  <c r="J114" i="63"/>
  <c r="D128" i="60" s="1"/>
  <c r="J113" i="63"/>
  <c r="D127" i="60" s="1"/>
  <c r="J112" i="63"/>
  <c r="J111" i="63"/>
  <c r="J110" i="63"/>
  <c r="D124" i="60" s="1"/>
  <c r="J109" i="63"/>
  <c r="J108" i="63"/>
  <c r="J107" i="63"/>
  <c r="J106" i="63"/>
  <c r="D120" i="60" s="1"/>
  <c r="J105" i="63"/>
  <c r="D119" i="60" s="1"/>
  <c r="J104" i="63"/>
  <c r="J103" i="63"/>
  <c r="J102" i="63"/>
  <c r="D116" i="60" s="1"/>
  <c r="J101" i="63"/>
  <c r="J100" i="63"/>
  <c r="J99" i="63"/>
  <c r="J98" i="63"/>
  <c r="D112" i="60" s="1"/>
  <c r="J97" i="63"/>
  <c r="D111" i="60" s="1"/>
  <c r="J96" i="63"/>
  <c r="J95" i="63"/>
  <c r="J94" i="63"/>
  <c r="D108" i="60" s="1"/>
  <c r="J93" i="63"/>
  <c r="J92" i="63"/>
  <c r="J91" i="63"/>
  <c r="J90" i="63"/>
  <c r="D104" i="60" s="1"/>
  <c r="J89" i="63"/>
  <c r="D103" i="60" s="1"/>
  <c r="J88" i="63"/>
  <c r="J87" i="63"/>
  <c r="J86" i="63"/>
  <c r="D100" i="60" s="1"/>
  <c r="J85" i="63"/>
  <c r="J84" i="63"/>
  <c r="J83" i="63"/>
  <c r="J82" i="63"/>
  <c r="D96" i="60" s="1"/>
  <c r="J81" i="63"/>
  <c r="D95" i="60" s="1"/>
  <c r="J80" i="63"/>
  <c r="J79" i="63"/>
  <c r="J78" i="63"/>
  <c r="D92" i="60" s="1"/>
  <c r="J77" i="63"/>
  <c r="J76" i="63"/>
  <c r="J75" i="63"/>
  <c r="J74" i="63"/>
  <c r="D88" i="60" s="1"/>
  <c r="J73" i="63"/>
  <c r="D87" i="60" s="1"/>
  <c r="J72" i="63"/>
  <c r="J71" i="63"/>
  <c r="J70" i="63"/>
  <c r="D84" i="60" s="1"/>
  <c r="J69" i="63"/>
  <c r="J68" i="63"/>
  <c r="J67" i="63"/>
  <c r="J66" i="63"/>
  <c r="D80" i="60" s="1"/>
  <c r="J65" i="63"/>
  <c r="D79" i="60" s="1"/>
  <c r="J64" i="63"/>
  <c r="J63" i="63"/>
  <c r="J62" i="63"/>
  <c r="D76" i="60" s="1"/>
  <c r="J61" i="63"/>
  <c r="J60" i="63"/>
  <c r="J59" i="63"/>
  <c r="J58" i="63"/>
  <c r="D72" i="60" s="1"/>
  <c r="J57" i="63"/>
  <c r="D71" i="60" s="1"/>
  <c r="J56" i="63"/>
  <c r="J53" i="63"/>
  <c r="J52" i="63"/>
  <c r="D67" i="60" s="1"/>
  <c r="I51" i="63"/>
  <c r="I54" i="63" s="1"/>
  <c r="I145" i="63" s="1"/>
  <c r="I147" i="63" s="1"/>
  <c r="H51" i="63"/>
  <c r="H54" i="63" s="1"/>
  <c r="H145" i="63" s="1"/>
  <c r="H147" i="63" s="1"/>
  <c r="G51" i="63"/>
  <c r="G54" i="63" s="1"/>
  <c r="G145" i="63" s="1"/>
  <c r="G147" i="63" s="1"/>
  <c r="F51" i="63"/>
  <c r="F54" i="63" s="1"/>
  <c r="F145" i="63" s="1"/>
  <c r="F147" i="63" s="1"/>
  <c r="J50" i="63"/>
  <c r="J49" i="63"/>
  <c r="J48" i="63"/>
  <c r="J47" i="63"/>
  <c r="D65" i="60" s="1"/>
  <c r="J46" i="63"/>
  <c r="J45" i="63"/>
  <c r="J44" i="63"/>
  <c r="J43" i="63"/>
  <c r="J42" i="63"/>
  <c r="J41" i="63"/>
  <c r="J40" i="63"/>
  <c r="D58" i="60" s="1"/>
  <c r="J39" i="63"/>
  <c r="D57" i="60" s="1"/>
  <c r="J38" i="63"/>
  <c r="J37" i="63"/>
  <c r="J36" i="63"/>
  <c r="J35" i="63"/>
  <c r="J34" i="63"/>
  <c r="J33" i="63"/>
  <c r="J32" i="63"/>
  <c r="D50" i="60" s="1"/>
  <c r="J31" i="63"/>
  <c r="D49" i="60" s="1"/>
  <c r="J30" i="63"/>
  <c r="J29" i="63"/>
  <c r="J28" i="63"/>
  <c r="J27" i="63"/>
  <c r="J26" i="63"/>
  <c r="J25" i="63"/>
  <c r="J24" i="63"/>
  <c r="D42" i="60" s="1"/>
  <c r="J23" i="63"/>
  <c r="D41" i="60" s="1"/>
  <c r="J22" i="63"/>
  <c r="J21" i="63"/>
  <c r="J20" i="63"/>
  <c r="J18" i="63"/>
  <c r="E17" i="63"/>
  <c r="D17" i="63"/>
  <c r="D51" i="63" s="1"/>
  <c r="D54" i="63" s="1"/>
  <c r="D145" i="63" s="1"/>
  <c r="D147" i="63" s="1"/>
  <c r="C17" i="63"/>
  <c r="J16" i="63"/>
  <c r="E16" i="63"/>
  <c r="J15" i="63"/>
  <c r="J14" i="63"/>
  <c r="D33" i="60" s="1"/>
  <c r="J13" i="63"/>
  <c r="J12" i="63"/>
  <c r="J11" i="63"/>
  <c r="J10" i="63"/>
  <c r="D29" i="60" s="1"/>
  <c r="J9" i="63"/>
  <c r="J8" i="63"/>
  <c r="J7" i="63"/>
  <c r="J6" i="63"/>
  <c r="D25" i="60" s="1"/>
  <c r="J5" i="63"/>
  <c r="J4" i="63"/>
  <c r="D23" i="60" s="1"/>
  <c r="J3" i="63"/>
  <c r="G81" i="62"/>
  <c r="C81" i="62"/>
  <c r="B149" i="63" s="1"/>
  <c r="H79" i="62"/>
  <c r="G79" i="62"/>
  <c r="F79" i="62"/>
  <c r="E79" i="62"/>
  <c r="D79" i="62"/>
  <c r="G74" i="62"/>
  <c r="H71" i="62"/>
  <c r="G71" i="62"/>
  <c r="F71" i="62"/>
  <c r="D15" i="60" s="1"/>
  <c r="E71" i="62"/>
  <c r="D71" i="62"/>
  <c r="H67" i="62"/>
  <c r="G67" i="62"/>
  <c r="F67" i="62"/>
  <c r="E67" i="62"/>
  <c r="D67" i="62"/>
  <c r="H57" i="62"/>
  <c r="G57" i="62"/>
  <c r="F57" i="62"/>
  <c r="D9" i="60" s="1"/>
  <c r="E57" i="62"/>
  <c r="D57" i="62"/>
  <c r="H49" i="62"/>
  <c r="G49" i="62"/>
  <c r="F49" i="62"/>
  <c r="D7" i="60" s="1"/>
  <c r="E49" i="62"/>
  <c r="E74" i="62" s="1"/>
  <c r="D49" i="62"/>
  <c r="H33" i="62"/>
  <c r="H74" i="62" s="1"/>
  <c r="G33" i="62"/>
  <c r="F33" i="62"/>
  <c r="E33" i="62"/>
  <c r="D33" i="62"/>
  <c r="T226" i="61"/>
  <c r="T225" i="61"/>
  <c r="C157" i="60" s="1"/>
  <c r="T224" i="61"/>
  <c r="C156" i="60" s="1"/>
  <c r="T223" i="61"/>
  <c r="T222" i="61"/>
  <c r="T221" i="61"/>
  <c r="T220" i="61"/>
  <c r="T219" i="61"/>
  <c r="T218" i="61"/>
  <c r="T217" i="61"/>
  <c r="C149" i="60" s="1"/>
  <c r="T216" i="61"/>
  <c r="C148" i="60" s="1"/>
  <c r="T215" i="61"/>
  <c r="T214" i="61"/>
  <c r="T213" i="61"/>
  <c r="T212" i="61"/>
  <c r="T211" i="61"/>
  <c r="T210" i="61"/>
  <c r="T209" i="61"/>
  <c r="C141" i="60" s="1"/>
  <c r="T208" i="61"/>
  <c r="C140" i="60" s="1"/>
  <c r="T207" i="61"/>
  <c r="C139" i="60" s="1"/>
  <c r="T206" i="61"/>
  <c r="T205" i="61"/>
  <c r="T204" i="61"/>
  <c r="T203" i="61"/>
  <c r="T202" i="61"/>
  <c r="T201" i="61"/>
  <c r="C133" i="60" s="1"/>
  <c r="T200" i="61"/>
  <c r="C132" i="60" s="1"/>
  <c r="T199" i="61"/>
  <c r="T198" i="61"/>
  <c r="T197" i="61"/>
  <c r="T196" i="61"/>
  <c r="T195" i="61"/>
  <c r="T194" i="61"/>
  <c r="T193" i="61"/>
  <c r="C126" i="60" s="1"/>
  <c r="T192" i="61"/>
  <c r="C125" i="60" s="1"/>
  <c r="T191" i="61"/>
  <c r="C124" i="60" s="1"/>
  <c r="T190" i="61"/>
  <c r="T189" i="61"/>
  <c r="T188" i="61"/>
  <c r="T187" i="61"/>
  <c r="T186" i="61"/>
  <c r="T185" i="61"/>
  <c r="T184" i="61"/>
  <c r="C117" i="60" s="1"/>
  <c r="T183" i="61"/>
  <c r="C116" i="60" s="1"/>
  <c r="T182" i="61"/>
  <c r="T181" i="61"/>
  <c r="T180" i="61"/>
  <c r="T179" i="61"/>
  <c r="T178" i="61"/>
  <c r="T177" i="61"/>
  <c r="C110" i="60" s="1"/>
  <c r="T176" i="61"/>
  <c r="C109" i="60" s="1"/>
  <c r="T175" i="61"/>
  <c r="C108" i="60" s="1"/>
  <c r="T174" i="61"/>
  <c r="T173" i="61"/>
  <c r="T172" i="61"/>
  <c r="T171" i="61"/>
  <c r="T170" i="61"/>
  <c r="T169" i="61"/>
  <c r="T168" i="61"/>
  <c r="C101" i="60" s="1"/>
  <c r="T167" i="61"/>
  <c r="C100" i="60" s="1"/>
  <c r="T166" i="61"/>
  <c r="T165" i="61"/>
  <c r="T164" i="61"/>
  <c r="T163" i="61"/>
  <c r="T162" i="61"/>
  <c r="T161" i="61"/>
  <c r="C94" i="60" s="1"/>
  <c r="T160" i="61"/>
  <c r="C93" i="60" s="1"/>
  <c r="T159" i="61"/>
  <c r="C92" i="60" s="1"/>
  <c r="T158" i="61"/>
  <c r="T157" i="61"/>
  <c r="T156" i="61"/>
  <c r="T155" i="61"/>
  <c r="T154" i="61"/>
  <c r="T153" i="61"/>
  <c r="C86" i="60" s="1"/>
  <c r="T152" i="61"/>
  <c r="C85" i="60" s="1"/>
  <c r="T151" i="61"/>
  <c r="C84" i="60" s="1"/>
  <c r="T150" i="61"/>
  <c r="T149" i="61"/>
  <c r="T148" i="61"/>
  <c r="T147" i="61"/>
  <c r="T146" i="61"/>
  <c r="T145" i="61"/>
  <c r="C78" i="60" s="1"/>
  <c r="T144" i="61"/>
  <c r="C77" i="60" s="1"/>
  <c r="T143" i="61"/>
  <c r="C76" i="60" s="1"/>
  <c r="T142" i="61"/>
  <c r="T141" i="61"/>
  <c r="T140" i="61"/>
  <c r="T139" i="61"/>
  <c r="T138" i="61"/>
  <c r="T137" i="61"/>
  <c r="C70" i="60" s="1"/>
  <c r="T134" i="61"/>
  <c r="T133" i="61"/>
  <c r="T132" i="61"/>
  <c r="T131" i="61"/>
  <c r="T130" i="61"/>
  <c r="T129" i="61"/>
  <c r="C63" i="60" s="1"/>
  <c r="T128" i="61"/>
  <c r="C62" i="60" s="1"/>
  <c r="T127" i="61"/>
  <c r="C61" i="60" s="1"/>
  <c r="T126" i="61"/>
  <c r="T125" i="61"/>
  <c r="C59" i="60" s="1"/>
  <c r="T124" i="61"/>
  <c r="C58" i="60" s="1"/>
  <c r="T123" i="61"/>
  <c r="T122" i="61"/>
  <c r="T121" i="61"/>
  <c r="C55" i="60" s="1"/>
  <c r="T120" i="61"/>
  <c r="C54" i="60" s="1"/>
  <c r="T119" i="61"/>
  <c r="C53" i="60" s="1"/>
  <c r="T118" i="61"/>
  <c r="T117" i="61"/>
  <c r="C51" i="60" s="1"/>
  <c r="T116" i="61"/>
  <c r="C50" i="60" s="1"/>
  <c r="T115" i="61"/>
  <c r="T114" i="61"/>
  <c r="T113" i="61"/>
  <c r="C47" i="60" s="1"/>
  <c r="T112" i="61"/>
  <c r="C46" i="60" s="1"/>
  <c r="T111" i="61"/>
  <c r="C45" i="60" s="1"/>
  <c r="T110" i="61"/>
  <c r="T109" i="61"/>
  <c r="C43" i="60" s="1"/>
  <c r="T108" i="61"/>
  <c r="C42" i="60" s="1"/>
  <c r="T107" i="61"/>
  <c r="T106" i="61"/>
  <c r="T105" i="61"/>
  <c r="C39" i="60" s="1"/>
  <c r="T104" i="61"/>
  <c r="T103" i="61"/>
  <c r="T102" i="61"/>
  <c r="T101" i="61"/>
  <c r="C35" i="60" s="1"/>
  <c r="T100" i="61"/>
  <c r="C34" i="60" s="1"/>
  <c r="T99" i="61"/>
  <c r="T98" i="61"/>
  <c r="T97" i="61"/>
  <c r="T96" i="61"/>
  <c r="T95" i="61"/>
  <c r="C30" i="60" s="1"/>
  <c r="T94" i="61"/>
  <c r="C29" i="60" s="1"/>
  <c r="T93" i="61"/>
  <c r="C28" i="60" s="1"/>
  <c r="T92" i="61"/>
  <c r="T91" i="61"/>
  <c r="T90" i="61"/>
  <c r="T89" i="61"/>
  <c r="T88" i="61"/>
  <c r="T87" i="61"/>
  <c r="C22" i="60" s="1"/>
  <c r="S83" i="61"/>
  <c r="R83" i="61"/>
  <c r="Q83" i="61"/>
  <c r="P83" i="61"/>
  <c r="O83" i="61"/>
  <c r="N83" i="61"/>
  <c r="M83" i="61"/>
  <c r="L83" i="61"/>
  <c r="K83" i="61"/>
  <c r="J83" i="61"/>
  <c r="I83" i="61"/>
  <c r="H83" i="61"/>
  <c r="G83" i="61"/>
  <c r="F83" i="61"/>
  <c r="E83" i="61"/>
  <c r="D83" i="61"/>
  <c r="T83" i="61" s="1"/>
  <c r="C83" i="61"/>
  <c r="S80" i="61"/>
  <c r="R80" i="61"/>
  <c r="Q80" i="61"/>
  <c r="Q82" i="61" s="1"/>
  <c r="Q84" i="61" s="1"/>
  <c r="P80" i="61"/>
  <c r="O80" i="61"/>
  <c r="N80" i="61"/>
  <c r="M80" i="61"/>
  <c r="L80" i="61"/>
  <c r="K80" i="61"/>
  <c r="J80" i="61"/>
  <c r="I80" i="61"/>
  <c r="H80" i="61"/>
  <c r="G80" i="61"/>
  <c r="F80" i="61"/>
  <c r="E80" i="61"/>
  <c r="D80" i="61"/>
  <c r="C80" i="61"/>
  <c r="U78" i="61"/>
  <c r="T78" i="61"/>
  <c r="U77" i="61"/>
  <c r="T77" i="61"/>
  <c r="U76" i="61"/>
  <c r="T76" i="61"/>
  <c r="U75" i="61"/>
  <c r="T75" i="61"/>
  <c r="U74" i="61"/>
  <c r="T74" i="61"/>
  <c r="U73" i="61"/>
  <c r="T73" i="61"/>
  <c r="G71" i="61"/>
  <c r="G82" i="61" s="1"/>
  <c r="G84" i="61" s="1"/>
  <c r="S69" i="61"/>
  <c r="R69" i="61"/>
  <c r="Q69" i="61"/>
  <c r="P69" i="61"/>
  <c r="O69" i="61"/>
  <c r="N69" i="61"/>
  <c r="N71" i="61" s="1"/>
  <c r="M69" i="61"/>
  <c r="M71" i="61" s="1"/>
  <c r="L69" i="61"/>
  <c r="L71" i="61" s="1"/>
  <c r="K69" i="61"/>
  <c r="J69" i="61"/>
  <c r="I69" i="61"/>
  <c r="H69" i="61"/>
  <c r="G69" i="61"/>
  <c r="F69" i="61"/>
  <c r="E69" i="61"/>
  <c r="E71" i="61" s="1"/>
  <c r="D69" i="61"/>
  <c r="D71" i="61" s="1"/>
  <c r="C69" i="61"/>
  <c r="U67" i="61"/>
  <c r="U66" i="61"/>
  <c r="U65" i="61"/>
  <c r="U64" i="61"/>
  <c r="S62" i="61"/>
  <c r="R62" i="61"/>
  <c r="R71" i="61" s="1"/>
  <c r="Q62" i="61"/>
  <c r="Q71" i="61" s="1"/>
  <c r="P62" i="61"/>
  <c r="P71" i="61" s="1"/>
  <c r="P82" i="61" s="1"/>
  <c r="P84" i="61" s="1"/>
  <c r="O62" i="61"/>
  <c r="O71" i="61" s="1"/>
  <c r="O82" i="61" s="1"/>
  <c r="O84" i="61" s="1"/>
  <c r="N62" i="61"/>
  <c r="M62" i="61"/>
  <c r="L62" i="61"/>
  <c r="K62" i="61"/>
  <c r="J62" i="61"/>
  <c r="J71" i="61" s="1"/>
  <c r="I62" i="61"/>
  <c r="H62" i="61"/>
  <c r="G62" i="61"/>
  <c r="F62" i="61"/>
  <c r="E62" i="61"/>
  <c r="D62" i="61"/>
  <c r="C62" i="61"/>
  <c r="U60" i="61"/>
  <c r="T60" i="61"/>
  <c r="U59" i="61"/>
  <c r="T59" i="61"/>
  <c r="U58" i="61"/>
  <c r="T58" i="61"/>
  <c r="T57" i="61"/>
  <c r="J57" i="61"/>
  <c r="U57" i="61" s="1"/>
  <c r="U56" i="61"/>
  <c r="T56" i="61"/>
  <c r="U55" i="61"/>
  <c r="T55" i="61"/>
  <c r="U54" i="61"/>
  <c r="T54" i="61"/>
  <c r="U53" i="61"/>
  <c r="T53" i="61"/>
  <c r="U52" i="61"/>
  <c r="T52" i="61"/>
  <c r="U51" i="61"/>
  <c r="T51" i="61"/>
  <c r="U50" i="61"/>
  <c r="T50" i="61"/>
  <c r="S48" i="61"/>
  <c r="R48" i="61"/>
  <c r="Q48" i="61"/>
  <c r="P48" i="61"/>
  <c r="O48" i="61"/>
  <c r="N48" i="61"/>
  <c r="M48" i="61"/>
  <c r="L48" i="61"/>
  <c r="K48" i="61"/>
  <c r="J48" i="61"/>
  <c r="I48" i="61"/>
  <c r="I71" i="61" s="1"/>
  <c r="I82" i="61" s="1"/>
  <c r="I84" i="61" s="1"/>
  <c r="H48" i="61"/>
  <c r="H71" i="61" s="1"/>
  <c r="H82" i="61" s="1"/>
  <c r="H84" i="61" s="1"/>
  <c r="G48" i="61"/>
  <c r="E48" i="61"/>
  <c r="D48" i="61"/>
  <c r="C48" i="61"/>
  <c r="U46" i="61"/>
  <c r="T46" i="61"/>
  <c r="U45" i="61"/>
  <c r="T45" i="61"/>
  <c r="U44" i="61"/>
  <c r="T44" i="61"/>
  <c r="U43" i="61"/>
  <c r="T43" i="61"/>
  <c r="T42" i="61"/>
  <c r="F42" i="61"/>
  <c r="F48" i="61" s="1"/>
  <c r="U41" i="61"/>
  <c r="T41" i="61"/>
  <c r="U40" i="61"/>
  <c r="T40" i="61"/>
  <c r="U39" i="61"/>
  <c r="T39" i="61"/>
  <c r="U38" i="61"/>
  <c r="T38" i="61"/>
  <c r="U37" i="61"/>
  <c r="T37" i="61"/>
  <c r="S35" i="61"/>
  <c r="R35" i="61"/>
  <c r="Q35" i="61"/>
  <c r="P35" i="61"/>
  <c r="O35" i="61"/>
  <c r="N35" i="61"/>
  <c r="M35" i="61"/>
  <c r="L35" i="61"/>
  <c r="K35" i="61"/>
  <c r="J35" i="61"/>
  <c r="I35" i="61"/>
  <c r="H35" i="61"/>
  <c r="G35" i="61"/>
  <c r="F35" i="61"/>
  <c r="E35" i="61"/>
  <c r="D35" i="61"/>
  <c r="C35" i="61"/>
  <c r="U33" i="61"/>
  <c r="T33" i="61"/>
  <c r="U32" i="61"/>
  <c r="T32" i="61"/>
  <c r="U31" i="61"/>
  <c r="T31" i="61"/>
  <c r="U30" i="61"/>
  <c r="T30" i="61"/>
  <c r="U29" i="61"/>
  <c r="T29" i="61"/>
  <c r="U28" i="61"/>
  <c r="T28" i="61"/>
  <c r="U27" i="61"/>
  <c r="T27" i="61"/>
  <c r="U26" i="61"/>
  <c r="T26" i="61"/>
  <c r="U25" i="61"/>
  <c r="T25" i="61"/>
  <c r="U24" i="61"/>
  <c r="T24" i="61"/>
  <c r="U23" i="61"/>
  <c r="T23" i="61"/>
  <c r="U22" i="61"/>
  <c r="T22" i="61"/>
  <c r="U21" i="61"/>
  <c r="T21" i="61"/>
  <c r="U20" i="61"/>
  <c r="T20" i="61"/>
  <c r="U19" i="61"/>
  <c r="T19" i="61"/>
  <c r="U18" i="61"/>
  <c r="T18" i="61"/>
  <c r="U17" i="61"/>
  <c r="T17" i="61"/>
  <c r="U16" i="61"/>
  <c r="T16" i="61"/>
  <c r="U15" i="61"/>
  <c r="T15" i="61"/>
  <c r="U14" i="61"/>
  <c r="T14" i="61"/>
  <c r="U13" i="61"/>
  <c r="T13" i="61"/>
  <c r="V12" i="61"/>
  <c r="U12" i="61"/>
  <c r="T12" i="61"/>
  <c r="U11" i="61"/>
  <c r="V11" i="61" s="1"/>
  <c r="T11" i="61"/>
  <c r="V10" i="61"/>
  <c r="U10" i="61"/>
  <c r="T10" i="61"/>
  <c r="V9" i="61"/>
  <c r="U9" i="61"/>
  <c r="T9" i="61"/>
  <c r="U8" i="61"/>
  <c r="T8" i="61"/>
  <c r="V7" i="61"/>
  <c r="U7" i="61"/>
  <c r="T7" i="61"/>
  <c r="V6" i="61"/>
  <c r="U6" i="61"/>
  <c r="T6" i="61"/>
  <c r="U5" i="61"/>
  <c r="V5" i="61" s="1"/>
  <c r="V4" i="61" s="1"/>
  <c r="T5" i="61"/>
  <c r="B158" i="60"/>
  <c r="D155" i="60"/>
  <c r="C155" i="60"/>
  <c r="D154" i="60"/>
  <c r="C154" i="60"/>
  <c r="C153" i="60"/>
  <c r="C152" i="60"/>
  <c r="D151" i="60"/>
  <c r="C151" i="60"/>
  <c r="D150" i="60"/>
  <c r="C150" i="60"/>
  <c r="D147" i="60"/>
  <c r="C147" i="60"/>
  <c r="D146" i="60"/>
  <c r="C146" i="60"/>
  <c r="C145" i="60"/>
  <c r="C144" i="60"/>
  <c r="D143" i="60"/>
  <c r="C143" i="60"/>
  <c r="D142" i="60"/>
  <c r="D141" i="60"/>
  <c r="D139" i="60"/>
  <c r="D138" i="60"/>
  <c r="C138" i="60"/>
  <c r="D137" i="60"/>
  <c r="C137" i="60"/>
  <c r="C136" i="60"/>
  <c r="C135" i="60"/>
  <c r="D134" i="60"/>
  <c r="C134" i="60"/>
  <c r="D133" i="60"/>
  <c r="D131" i="60"/>
  <c r="C131" i="60"/>
  <c r="D130" i="60"/>
  <c r="C130" i="60"/>
  <c r="D129" i="60"/>
  <c r="C129" i="60"/>
  <c r="C128" i="60"/>
  <c r="C127" i="60"/>
  <c r="D126" i="60"/>
  <c r="D125" i="60"/>
  <c r="D123" i="60"/>
  <c r="C123" i="60"/>
  <c r="D122" i="60"/>
  <c r="C122" i="60"/>
  <c r="D121" i="60"/>
  <c r="C121" i="60"/>
  <c r="C120" i="60"/>
  <c r="C119" i="60"/>
  <c r="D118" i="60"/>
  <c r="C118" i="60"/>
  <c r="D117" i="60"/>
  <c r="D115" i="60"/>
  <c r="C115" i="60"/>
  <c r="D114" i="60"/>
  <c r="C114" i="60"/>
  <c r="D113" i="60"/>
  <c r="C113" i="60"/>
  <c r="C112" i="60"/>
  <c r="C111" i="60"/>
  <c r="D110" i="60"/>
  <c r="D109" i="60"/>
  <c r="D107" i="60"/>
  <c r="C107" i="60"/>
  <c r="D106" i="60"/>
  <c r="C106" i="60"/>
  <c r="D105" i="60"/>
  <c r="C105" i="60"/>
  <c r="C104" i="60"/>
  <c r="C103" i="60"/>
  <c r="D102" i="60"/>
  <c r="C102" i="60"/>
  <c r="D101" i="60"/>
  <c r="D99" i="60"/>
  <c r="C99" i="60"/>
  <c r="D98" i="60"/>
  <c r="C98" i="60"/>
  <c r="D97" i="60"/>
  <c r="C97" i="60"/>
  <c r="C96" i="60"/>
  <c r="C95" i="60"/>
  <c r="D94" i="60"/>
  <c r="D93" i="60"/>
  <c r="D91" i="60"/>
  <c r="C91" i="60"/>
  <c r="D90" i="60"/>
  <c r="C90" i="60"/>
  <c r="D89" i="60"/>
  <c r="C89" i="60"/>
  <c r="C88" i="60"/>
  <c r="C87" i="60"/>
  <c r="D86" i="60"/>
  <c r="D85" i="60"/>
  <c r="D83" i="60"/>
  <c r="C83" i="60"/>
  <c r="D82" i="60"/>
  <c r="C82" i="60"/>
  <c r="D81" i="60"/>
  <c r="C81" i="60"/>
  <c r="C80" i="60"/>
  <c r="C79" i="60"/>
  <c r="D78" i="60"/>
  <c r="D77" i="60"/>
  <c r="D75" i="60"/>
  <c r="C75" i="60"/>
  <c r="D74" i="60"/>
  <c r="C74" i="60"/>
  <c r="D73" i="60"/>
  <c r="C73" i="60"/>
  <c r="C72" i="60"/>
  <c r="C71" i="60"/>
  <c r="D70" i="60"/>
  <c r="D69" i="60" s="1"/>
  <c r="B67" i="60"/>
  <c r="C65" i="60"/>
  <c r="D64" i="60"/>
  <c r="C64" i="60"/>
  <c r="D63" i="60"/>
  <c r="D62" i="60"/>
  <c r="D61" i="60"/>
  <c r="D60" i="60"/>
  <c r="C60" i="60"/>
  <c r="D59" i="60"/>
  <c r="C57" i="60"/>
  <c r="D56" i="60"/>
  <c r="C56" i="60"/>
  <c r="D55" i="60"/>
  <c r="D54" i="60"/>
  <c r="D53" i="60"/>
  <c r="D52" i="60"/>
  <c r="C52" i="60"/>
  <c r="D51" i="60"/>
  <c r="C49" i="60"/>
  <c r="D48" i="60"/>
  <c r="C48" i="60"/>
  <c r="D47" i="60"/>
  <c r="D46" i="60"/>
  <c r="D45" i="60"/>
  <c r="D44" i="60"/>
  <c r="C44" i="60"/>
  <c r="D43" i="60"/>
  <c r="C41" i="60"/>
  <c r="D40" i="60"/>
  <c r="C40" i="60"/>
  <c r="D39" i="60"/>
  <c r="C36" i="60"/>
  <c r="D35" i="60"/>
  <c r="D34" i="60"/>
  <c r="C33" i="60"/>
  <c r="D32" i="60"/>
  <c r="C32" i="60"/>
  <c r="D31" i="60"/>
  <c r="C31" i="60"/>
  <c r="D30" i="60"/>
  <c r="D28" i="60"/>
  <c r="D27" i="60"/>
  <c r="C27" i="60"/>
  <c r="D26" i="60"/>
  <c r="C26" i="60"/>
  <c r="C25" i="60"/>
  <c r="D24" i="60"/>
  <c r="C24" i="60"/>
  <c r="C23" i="60"/>
  <c r="D22" i="60"/>
  <c r="D11" i="60"/>
  <c r="R82" i="61" l="1"/>
  <c r="R84" i="61" s="1"/>
  <c r="C69" i="60"/>
  <c r="J82" i="61"/>
  <c r="J84" i="61" s="1"/>
  <c r="C38" i="60"/>
  <c r="D74" i="62"/>
  <c r="E51" i="63"/>
  <c r="E54" i="63" s="1"/>
  <c r="E145" i="63" s="1"/>
  <c r="E147" i="63" s="1"/>
  <c r="J144" i="63"/>
  <c r="T48" i="61"/>
  <c r="C7" i="60" s="1"/>
  <c r="E7" i="60"/>
  <c r="T35" i="61"/>
  <c r="D82" i="61"/>
  <c r="D84" i="61" s="1"/>
  <c r="L82" i="61"/>
  <c r="L84" i="61" s="1"/>
  <c r="T80" i="61"/>
  <c r="C15" i="60" s="1"/>
  <c r="E15" i="60" s="1"/>
  <c r="F74" i="62"/>
  <c r="U42" i="61"/>
  <c r="C21" i="60"/>
  <c r="C18" i="60" s="1"/>
  <c r="C71" i="61"/>
  <c r="C82" i="61" s="1"/>
  <c r="K71" i="61"/>
  <c r="K82" i="61" s="1"/>
  <c r="K84" i="61" s="1"/>
  <c r="S71" i="61"/>
  <c r="S82" i="61" s="1"/>
  <c r="S84" i="61" s="1"/>
  <c r="E82" i="61"/>
  <c r="E84" i="61" s="1"/>
  <c r="M82" i="61"/>
  <c r="M84" i="61" s="1"/>
  <c r="C51" i="63"/>
  <c r="J17" i="63"/>
  <c r="D36" i="60" s="1"/>
  <c r="D21" i="60" s="1"/>
  <c r="D18" i="60" s="1"/>
  <c r="E18" i="60" s="1"/>
  <c r="D38" i="60"/>
  <c r="D5" i="60"/>
  <c r="V35" i="61"/>
  <c r="T69" i="61"/>
  <c r="C11" i="60" s="1"/>
  <c r="N82" i="61"/>
  <c r="N84" i="61" s="1"/>
  <c r="E11" i="60"/>
  <c r="T62" i="61"/>
  <c r="C9" i="60" s="1"/>
  <c r="E9" i="60" s="1"/>
  <c r="F71" i="61"/>
  <c r="F82" i="61" s="1"/>
  <c r="F84" i="61" s="1"/>
  <c r="T82" i="61" l="1"/>
  <c r="C84" i="61"/>
  <c r="D13" i="60"/>
  <c r="T71" i="61"/>
  <c r="C5" i="60"/>
  <c r="C13" i="60" s="1"/>
  <c r="C17" i="60" s="1"/>
  <c r="C19" i="60" s="1"/>
  <c r="C54" i="63"/>
  <c r="J51" i="63"/>
  <c r="C145" i="63" l="1"/>
  <c r="J54" i="63"/>
  <c r="E5" i="60"/>
  <c r="D17" i="60"/>
  <c r="E13" i="60"/>
  <c r="U82" i="61"/>
  <c r="T84" i="61"/>
  <c r="E17" i="60" l="1"/>
  <c r="D19" i="60"/>
  <c r="E19" i="60" s="1"/>
  <c r="C147" i="63"/>
  <c r="J147" i="63" s="1"/>
  <c r="J145" i="63"/>
  <c r="J150" i="58" l="1"/>
  <c r="J146" i="58"/>
  <c r="I144" i="58"/>
  <c r="H144" i="58"/>
  <c r="G144" i="58"/>
  <c r="F144" i="58"/>
  <c r="F145" i="58" s="1"/>
  <c r="F147" i="58" s="1"/>
  <c r="E144" i="58"/>
  <c r="D144" i="58"/>
  <c r="C144" i="58"/>
  <c r="J144" i="58" s="1"/>
  <c r="J143" i="58"/>
  <c r="J142" i="58"/>
  <c r="J141" i="58"/>
  <c r="J140" i="58"/>
  <c r="D157" i="55" s="1"/>
  <c r="J139" i="58"/>
  <c r="D156" i="55" s="1"/>
  <c r="J138" i="58"/>
  <c r="J137" i="58"/>
  <c r="J136" i="58"/>
  <c r="J135" i="58"/>
  <c r="J134" i="58"/>
  <c r="J133" i="58"/>
  <c r="J132" i="58"/>
  <c r="D149" i="55" s="1"/>
  <c r="J131" i="58"/>
  <c r="D148" i="55" s="1"/>
  <c r="J130" i="58"/>
  <c r="J129" i="58"/>
  <c r="J127" i="58"/>
  <c r="J126" i="58"/>
  <c r="J125" i="58"/>
  <c r="J124" i="58"/>
  <c r="J123" i="58"/>
  <c r="D140" i="55" s="1"/>
  <c r="J122" i="58"/>
  <c r="D139" i="55" s="1"/>
  <c r="J121" i="58"/>
  <c r="J120" i="58"/>
  <c r="J119" i="58"/>
  <c r="J118" i="58"/>
  <c r="J117" i="58"/>
  <c r="J116" i="58"/>
  <c r="J115" i="58"/>
  <c r="D132" i="55" s="1"/>
  <c r="J114" i="58"/>
  <c r="D131" i="55" s="1"/>
  <c r="J113" i="58"/>
  <c r="J112" i="58"/>
  <c r="J111" i="58"/>
  <c r="J110" i="58"/>
  <c r="J109" i="58"/>
  <c r="J108" i="58"/>
  <c r="J107" i="58"/>
  <c r="D124" i="55" s="1"/>
  <c r="J106" i="58"/>
  <c r="D123" i="55" s="1"/>
  <c r="J105" i="58"/>
  <c r="J104" i="58"/>
  <c r="J103" i="58"/>
  <c r="J102" i="58"/>
  <c r="J101" i="58"/>
  <c r="J100" i="58"/>
  <c r="J99" i="58"/>
  <c r="D116" i="55" s="1"/>
  <c r="J98" i="58"/>
  <c r="D115" i="55" s="1"/>
  <c r="J97" i="58"/>
  <c r="J96" i="58"/>
  <c r="J95" i="58"/>
  <c r="J94" i="58"/>
  <c r="J93" i="58"/>
  <c r="J92" i="58"/>
  <c r="J91" i="58"/>
  <c r="D108" i="55" s="1"/>
  <c r="J90" i="58"/>
  <c r="D107" i="55" s="1"/>
  <c r="J89" i="58"/>
  <c r="J88" i="58"/>
  <c r="J87" i="58"/>
  <c r="J86" i="58"/>
  <c r="J85" i="58"/>
  <c r="J84" i="58"/>
  <c r="J83" i="58"/>
  <c r="D100" i="55" s="1"/>
  <c r="J82" i="58"/>
  <c r="D99" i="55" s="1"/>
  <c r="J81" i="58"/>
  <c r="J80" i="58"/>
  <c r="J79" i="58"/>
  <c r="J78" i="58"/>
  <c r="J77" i="58"/>
  <c r="J76" i="58"/>
  <c r="J75" i="58"/>
  <c r="D92" i="55" s="1"/>
  <c r="J74" i="58"/>
  <c r="D91" i="55" s="1"/>
  <c r="J73" i="58"/>
  <c r="J72" i="58"/>
  <c r="J71" i="58"/>
  <c r="J70" i="58"/>
  <c r="J69" i="58"/>
  <c r="J68" i="58"/>
  <c r="J67" i="58"/>
  <c r="D84" i="55" s="1"/>
  <c r="J66" i="58"/>
  <c r="D83" i="55" s="1"/>
  <c r="J65" i="58"/>
  <c r="J64" i="58"/>
  <c r="J63" i="58"/>
  <c r="J62" i="58"/>
  <c r="J61" i="58"/>
  <c r="J60" i="58"/>
  <c r="J59" i="58"/>
  <c r="D76" i="55" s="1"/>
  <c r="J58" i="58"/>
  <c r="D75" i="55" s="1"/>
  <c r="J57" i="58"/>
  <c r="J56" i="58"/>
  <c r="F54" i="58"/>
  <c r="E54" i="58"/>
  <c r="E145" i="58" s="1"/>
  <c r="E147" i="58" s="1"/>
  <c r="D54" i="58"/>
  <c r="D145" i="58" s="1"/>
  <c r="D147" i="58" s="1"/>
  <c r="J53" i="58"/>
  <c r="J52" i="58"/>
  <c r="I51" i="58"/>
  <c r="I54" i="58" s="1"/>
  <c r="I145" i="58" s="1"/>
  <c r="I147" i="58" s="1"/>
  <c r="H51" i="58"/>
  <c r="H54" i="58" s="1"/>
  <c r="H145" i="58" s="1"/>
  <c r="H147" i="58" s="1"/>
  <c r="G51" i="58"/>
  <c r="G54" i="58" s="1"/>
  <c r="G145" i="58" s="1"/>
  <c r="G147" i="58" s="1"/>
  <c r="F51" i="58"/>
  <c r="J51" i="58" s="1"/>
  <c r="E51" i="58"/>
  <c r="D51" i="58"/>
  <c r="C51" i="58"/>
  <c r="C54" i="58" s="1"/>
  <c r="J50" i="58"/>
  <c r="J49" i="58"/>
  <c r="J48" i="58"/>
  <c r="J47" i="58"/>
  <c r="D66" i="55" s="1"/>
  <c r="J46" i="58"/>
  <c r="J45" i="58"/>
  <c r="J44" i="58"/>
  <c r="J43" i="58"/>
  <c r="J42" i="58"/>
  <c r="J41" i="58"/>
  <c r="J40" i="58"/>
  <c r="J39" i="58"/>
  <c r="D58" i="55" s="1"/>
  <c r="J38" i="58"/>
  <c r="J37" i="58"/>
  <c r="J36" i="58"/>
  <c r="J35" i="58"/>
  <c r="J34" i="58"/>
  <c r="J33" i="58"/>
  <c r="J32" i="58"/>
  <c r="J31" i="58"/>
  <c r="D50" i="55" s="1"/>
  <c r="J30" i="58"/>
  <c r="J29" i="58"/>
  <c r="J28" i="58"/>
  <c r="J27" i="58"/>
  <c r="J26" i="58"/>
  <c r="J25" i="58"/>
  <c r="J24" i="58"/>
  <c r="J23" i="58"/>
  <c r="D42" i="55" s="1"/>
  <c r="J22" i="58"/>
  <c r="J21" i="58"/>
  <c r="J20" i="58"/>
  <c r="J18" i="58"/>
  <c r="J17" i="58"/>
  <c r="J16" i="58"/>
  <c r="J15" i="58"/>
  <c r="J14" i="58"/>
  <c r="D33" i="55" s="1"/>
  <c r="J13" i="58"/>
  <c r="J12" i="58"/>
  <c r="J11" i="58"/>
  <c r="J10" i="58"/>
  <c r="J9" i="58"/>
  <c r="J8" i="58"/>
  <c r="J7" i="58"/>
  <c r="J6" i="58"/>
  <c r="D25" i="55" s="1"/>
  <c r="J5" i="58"/>
  <c r="J4" i="58"/>
  <c r="J3" i="58"/>
  <c r="D92" i="57"/>
  <c r="H84" i="57"/>
  <c r="H85" i="57" s="1"/>
  <c r="H83" i="57"/>
  <c r="G83" i="57"/>
  <c r="C83" i="57"/>
  <c r="B149" i="58" s="1"/>
  <c r="H81" i="57"/>
  <c r="G81" i="57"/>
  <c r="F81" i="57"/>
  <c r="E81" i="57"/>
  <c r="D81" i="57"/>
  <c r="G76" i="57"/>
  <c r="H73" i="57"/>
  <c r="G73" i="57"/>
  <c r="F73" i="57"/>
  <c r="E73" i="57"/>
  <c r="D73" i="57"/>
  <c r="H69" i="57"/>
  <c r="G69" i="57"/>
  <c r="F69" i="57"/>
  <c r="E69" i="57"/>
  <c r="D69" i="57"/>
  <c r="H59" i="57"/>
  <c r="G59" i="57"/>
  <c r="F59" i="57"/>
  <c r="F76" i="57" s="1"/>
  <c r="E59" i="57"/>
  <c r="D59" i="57"/>
  <c r="H51" i="57"/>
  <c r="G51" i="57"/>
  <c r="F51" i="57"/>
  <c r="E51" i="57"/>
  <c r="D51" i="57"/>
  <c r="H35" i="57"/>
  <c r="H76" i="57" s="1"/>
  <c r="G35" i="57"/>
  <c r="F35" i="57"/>
  <c r="E35" i="57"/>
  <c r="E76" i="57" s="1"/>
  <c r="D35" i="57"/>
  <c r="D76" i="57" s="1"/>
  <c r="Q222" i="56"/>
  <c r="Q221" i="56"/>
  <c r="Q220" i="56"/>
  <c r="Q219" i="56"/>
  <c r="C157" i="55" s="1"/>
  <c r="Q218" i="56"/>
  <c r="Q217" i="56"/>
  <c r="Q216" i="56"/>
  <c r="Q215" i="56"/>
  <c r="Q214" i="56"/>
  <c r="Q213" i="56"/>
  <c r="Q212" i="56"/>
  <c r="Q211" i="56"/>
  <c r="C149" i="55" s="1"/>
  <c r="Q210" i="56"/>
  <c r="Q209" i="56"/>
  <c r="Q208" i="56"/>
  <c r="Q207" i="56"/>
  <c r="Q206" i="56"/>
  <c r="Q205" i="56"/>
  <c r="Q204" i="56"/>
  <c r="Q203" i="56"/>
  <c r="C141" i="55" s="1"/>
  <c r="Q202" i="56"/>
  <c r="Q201" i="56"/>
  <c r="Q200" i="56"/>
  <c r="Q199" i="56"/>
  <c r="Q198" i="56"/>
  <c r="Q197" i="56"/>
  <c r="Q196" i="56"/>
  <c r="Q195" i="56"/>
  <c r="C134" i="55" s="1"/>
  <c r="Q194" i="56"/>
  <c r="Q193" i="56"/>
  <c r="Q192" i="56"/>
  <c r="Q191" i="56"/>
  <c r="Q190" i="56"/>
  <c r="Q189" i="56"/>
  <c r="Q188" i="56"/>
  <c r="C127" i="55" s="1"/>
  <c r="Q187" i="56"/>
  <c r="C126" i="55" s="1"/>
  <c r="Q186" i="56"/>
  <c r="Q185" i="56"/>
  <c r="Q184" i="56"/>
  <c r="Q183" i="56"/>
  <c r="Q182" i="56"/>
  <c r="Q181" i="56"/>
  <c r="Q180" i="56"/>
  <c r="C119" i="55" s="1"/>
  <c r="Q179" i="56"/>
  <c r="C118" i="55" s="1"/>
  <c r="Q178" i="56"/>
  <c r="Q177" i="56"/>
  <c r="Q176" i="56"/>
  <c r="Q175" i="56"/>
  <c r="Q174" i="56"/>
  <c r="Q173" i="56"/>
  <c r="Q172" i="56"/>
  <c r="C111" i="55" s="1"/>
  <c r="Q171" i="56"/>
  <c r="C110" i="55" s="1"/>
  <c r="Q170" i="56"/>
  <c r="Q169" i="56"/>
  <c r="Q168" i="56"/>
  <c r="Q167" i="56"/>
  <c r="Q166" i="56"/>
  <c r="Q165" i="56"/>
  <c r="Q164" i="56"/>
  <c r="C103" i="55" s="1"/>
  <c r="Q163" i="56"/>
  <c r="C102" i="55" s="1"/>
  <c r="Q162" i="56"/>
  <c r="Q161" i="56"/>
  <c r="Q160" i="56"/>
  <c r="Q159" i="56"/>
  <c r="Q158" i="56"/>
  <c r="Q157" i="56"/>
  <c r="Q156" i="56"/>
  <c r="C95" i="55" s="1"/>
  <c r="Q155" i="56"/>
  <c r="C94" i="55" s="1"/>
  <c r="Q154" i="56"/>
  <c r="Q153" i="56"/>
  <c r="Q152" i="56"/>
  <c r="Q151" i="56"/>
  <c r="Q150" i="56"/>
  <c r="Q149" i="56"/>
  <c r="Q148" i="56"/>
  <c r="C87" i="55" s="1"/>
  <c r="Q147" i="56"/>
  <c r="C86" i="55" s="1"/>
  <c r="Q146" i="56"/>
  <c r="Q145" i="56"/>
  <c r="Q144" i="56"/>
  <c r="Q143" i="56"/>
  <c r="Q142" i="56"/>
  <c r="Q141" i="56"/>
  <c r="Q140" i="56"/>
  <c r="C79" i="55" s="1"/>
  <c r="Q139" i="56"/>
  <c r="C78" i="55" s="1"/>
  <c r="Q138" i="56"/>
  <c r="Q137" i="56"/>
  <c r="Q136" i="56"/>
  <c r="Q135" i="56"/>
  <c r="Q134" i="56"/>
  <c r="Q131" i="56"/>
  <c r="Q130" i="56"/>
  <c r="C65" i="55" s="1"/>
  <c r="Q129" i="56"/>
  <c r="C64" i="55" s="1"/>
  <c r="Q128" i="56"/>
  <c r="Q127" i="56"/>
  <c r="Q126" i="56"/>
  <c r="Q125" i="56"/>
  <c r="Q124" i="56"/>
  <c r="Q123" i="56"/>
  <c r="Q122" i="56"/>
  <c r="C57" i="55" s="1"/>
  <c r="Q121" i="56"/>
  <c r="C56" i="55" s="1"/>
  <c r="Q120" i="56"/>
  <c r="Q119" i="56"/>
  <c r="Q118" i="56"/>
  <c r="Q117" i="56"/>
  <c r="Q116" i="56"/>
  <c r="Q115" i="56"/>
  <c r="Q114" i="56"/>
  <c r="C49" i="55" s="1"/>
  <c r="Q113" i="56"/>
  <c r="C48" i="55" s="1"/>
  <c r="Q112" i="56"/>
  <c r="Q111" i="56"/>
  <c r="Q110" i="56"/>
  <c r="Q109" i="56"/>
  <c r="Q108" i="56"/>
  <c r="Q107" i="56"/>
  <c r="Q106" i="56"/>
  <c r="C41" i="55" s="1"/>
  <c r="Q105" i="56"/>
  <c r="C40" i="55" s="1"/>
  <c r="Q104" i="56"/>
  <c r="Q103" i="56"/>
  <c r="Q102" i="56"/>
  <c r="Q101" i="56"/>
  <c r="Q100" i="56"/>
  <c r="Q99" i="56"/>
  <c r="Q98" i="56"/>
  <c r="C33" i="55" s="1"/>
  <c r="Q97" i="56"/>
  <c r="C32" i="55" s="1"/>
  <c r="Q96" i="56"/>
  <c r="Q95" i="56"/>
  <c r="Q94" i="56"/>
  <c r="Q93" i="56"/>
  <c r="Q92" i="56"/>
  <c r="Q91" i="56"/>
  <c r="Q90" i="56"/>
  <c r="C25" i="55" s="1"/>
  <c r="Q89" i="56"/>
  <c r="C24" i="55" s="1"/>
  <c r="Q88" i="56"/>
  <c r="Q87" i="56"/>
  <c r="P83" i="56"/>
  <c r="O83" i="56"/>
  <c r="N83" i="56"/>
  <c r="M83" i="56"/>
  <c r="L83" i="56"/>
  <c r="K83" i="56"/>
  <c r="J83" i="56"/>
  <c r="I83" i="56"/>
  <c r="H83" i="56"/>
  <c r="G83" i="56"/>
  <c r="F83" i="56"/>
  <c r="E83" i="56"/>
  <c r="D83" i="56"/>
  <c r="C83" i="56"/>
  <c r="Q83" i="56" s="1"/>
  <c r="P80" i="56"/>
  <c r="O80" i="56"/>
  <c r="N80" i="56"/>
  <c r="L80" i="56"/>
  <c r="K80" i="56"/>
  <c r="J80" i="56"/>
  <c r="I80" i="56"/>
  <c r="H80" i="56"/>
  <c r="G80" i="56"/>
  <c r="F80" i="56"/>
  <c r="E80" i="56"/>
  <c r="D80" i="56"/>
  <c r="C80" i="56"/>
  <c r="R78" i="56"/>
  <c r="Q78" i="56"/>
  <c r="Q77" i="56"/>
  <c r="M77" i="56"/>
  <c r="R77" i="56" s="1"/>
  <c r="R76" i="56"/>
  <c r="Q76" i="56"/>
  <c r="R75" i="56"/>
  <c r="Q75" i="56"/>
  <c r="R74" i="56"/>
  <c r="Q74" i="56"/>
  <c r="R73" i="56"/>
  <c r="Q73" i="56"/>
  <c r="O71" i="56"/>
  <c r="O82" i="56" s="1"/>
  <c r="O84" i="56" s="1"/>
  <c r="N71" i="56"/>
  <c r="N82" i="56" s="1"/>
  <c r="N84" i="56" s="1"/>
  <c r="G71" i="56"/>
  <c r="G82" i="56" s="1"/>
  <c r="G84" i="56" s="1"/>
  <c r="F71" i="56"/>
  <c r="F82" i="56" s="1"/>
  <c r="F84" i="56" s="1"/>
  <c r="P69" i="56"/>
  <c r="O69" i="56"/>
  <c r="N69" i="56"/>
  <c r="M69" i="56"/>
  <c r="M71" i="56" s="1"/>
  <c r="L69" i="56"/>
  <c r="L71" i="56" s="1"/>
  <c r="L82" i="56" s="1"/>
  <c r="L84" i="56" s="1"/>
  <c r="K69" i="56"/>
  <c r="K71" i="56" s="1"/>
  <c r="K82" i="56" s="1"/>
  <c r="K84" i="56" s="1"/>
  <c r="J69" i="56"/>
  <c r="J71" i="56" s="1"/>
  <c r="J82" i="56" s="1"/>
  <c r="J84" i="56" s="1"/>
  <c r="I69" i="56"/>
  <c r="I71" i="56" s="1"/>
  <c r="I82" i="56" s="1"/>
  <c r="I84" i="56" s="1"/>
  <c r="H69" i="56"/>
  <c r="G69" i="56"/>
  <c r="F69" i="56"/>
  <c r="E69" i="56"/>
  <c r="E71" i="56" s="1"/>
  <c r="E82" i="56" s="1"/>
  <c r="E84" i="56" s="1"/>
  <c r="D69" i="56"/>
  <c r="D71" i="56" s="1"/>
  <c r="D82" i="56" s="1"/>
  <c r="D84" i="56" s="1"/>
  <c r="C69" i="56"/>
  <c r="Q69" i="56" s="1"/>
  <c r="C11" i="55" s="1"/>
  <c r="R67" i="56"/>
  <c r="R66" i="56"/>
  <c r="R65" i="56"/>
  <c r="R64" i="56"/>
  <c r="P62" i="56"/>
  <c r="P71" i="56" s="1"/>
  <c r="P82" i="56" s="1"/>
  <c r="P84" i="56" s="1"/>
  <c r="O62" i="56"/>
  <c r="N62" i="56"/>
  <c r="M62" i="56"/>
  <c r="L62" i="56"/>
  <c r="K62" i="56"/>
  <c r="J62" i="56"/>
  <c r="I62" i="56"/>
  <c r="H62" i="56"/>
  <c r="Q62" i="56" s="1"/>
  <c r="C9" i="55" s="1"/>
  <c r="G62" i="56"/>
  <c r="F62" i="56"/>
  <c r="E62" i="56"/>
  <c r="D62" i="56"/>
  <c r="C62" i="56"/>
  <c r="R60" i="56"/>
  <c r="Q60" i="56"/>
  <c r="R59" i="56"/>
  <c r="Q59" i="56"/>
  <c r="R58" i="56"/>
  <c r="Q58" i="56"/>
  <c r="R57" i="56"/>
  <c r="Q57" i="56"/>
  <c r="R56" i="56"/>
  <c r="Q56" i="56"/>
  <c r="R55" i="56"/>
  <c r="Q55" i="56"/>
  <c r="R54" i="56"/>
  <c r="Q54" i="56"/>
  <c r="R53" i="56"/>
  <c r="Q53" i="56"/>
  <c r="R52" i="56"/>
  <c r="Q52" i="56"/>
  <c r="R51" i="56"/>
  <c r="Q51" i="56"/>
  <c r="R50" i="56"/>
  <c r="Q50" i="56"/>
  <c r="P48" i="56"/>
  <c r="O48" i="56"/>
  <c r="N48" i="56"/>
  <c r="M48" i="56"/>
  <c r="L48" i="56"/>
  <c r="K48" i="56"/>
  <c r="J48" i="56"/>
  <c r="I48" i="56"/>
  <c r="H48" i="56"/>
  <c r="G48" i="56"/>
  <c r="F48" i="56"/>
  <c r="E48" i="56"/>
  <c r="D48" i="56"/>
  <c r="C48" i="56"/>
  <c r="C71" i="56" s="1"/>
  <c r="C82" i="56" s="1"/>
  <c r="R46" i="56"/>
  <c r="Q46" i="56"/>
  <c r="R45" i="56"/>
  <c r="Q45" i="56"/>
  <c r="R44" i="56"/>
  <c r="Q44" i="56"/>
  <c r="R43" i="56"/>
  <c r="Q43" i="56"/>
  <c r="R42" i="56"/>
  <c r="Q42" i="56"/>
  <c r="R41" i="56"/>
  <c r="Q41" i="56"/>
  <c r="R40" i="56"/>
  <c r="Q40" i="56"/>
  <c r="R39" i="56"/>
  <c r="Q39" i="56"/>
  <c r="R38" i="56"/>
  <c r="Q38" i="56"/>
  <c r="R37" i="56"/>
  <c r="Q37" i="56"/>
  <c r="P35" i="56"/>
  <c r="O35" i="56"/>
  <c r="N35" i="56"/>
  <c r="M35" i="56"/>
  <c r="L35" i="56"/>
  <c r="K35" i="56"/>
  <c r="J35" i="56"/>
  <c r="I35" i="56"/>
  <c r="H35" i="56"/>
  <c r="Q35" i="56" s="1"/>
  <c r="G35" i="56"/>
  <c r="F35" i="56"/>
  <c r="E35" i="56"/>
  <c r="D35" i="56"/>
  <c r="C35" i="56"/>
  <c r="R33" i="56"/>
  <c r="Q33" i="56"/>
  <c r="R32" i="56"/>
  <c r="Q32" i="56"/>
  <c r="R31" i="56"/>
  <c r="Q31" i="56"/>
  <c r="R30" i="56"/>
  <c r="Q30" i="56"/>
  <c r="R29" i="56"/>
  <c r="Q29" i="56"/>
  <c r="R28" i="56"/>
  <c r="Q28" i="56"/>
  <c r="R27" i="56"/>
  <c r="Q27" i="56"/>
  <c r="R26" i="56"/>
  <c r="Q26" i="56"/>
  <c r="R25" i="56"/>
  <c r="Q25" i="56"/>
  <c r="R24" i="56"/>
  <c r="Q24" i="56"/>
  <c r="R23" i="56"/>
  <c r="Q23" i="56"/>
  <c r="R22" i="56"/>
  <c r="Q22" i="56"/>
  <c r="R21" i="56"/>
  <c r="Q21" i="56"/>
  <c r="R20" i="56"/>
  <c r="Q20" i="56"/>
  <c r="R19" i="56"/>
  <c r="Q19" i="56"/>
  <c r="R18" i="56"/>
  <c r="Q18" i="56"/>
  <c r="R17" i="56"/>
  <c r="Q17" i="56"/>
  <c r="R16" i="56"/>
  <c r="Q16" i="56"/>
  <c r="R15" i="56"/>
  <c r="Q15" i="56"/>
  <c r="R14" i="56"/>
  <c r="Q14" i="56"/>
  <c r="R13" i="56"/>
  <c r="Q13" i="56"/>
  <c r="S12" i="56"/>
  <c r="R12" i="56"/>
  <c r="Q12" i="56"/>
  <c r="S11" i="56"/>
  <c r="R11" i="56"/>
  <c r="Q11" i="56"/>
  <c r="R10" i="56"/>
  <c r="S10" i="56" s="1"/>
  <c r="Q10" i="56"/>
  <c r="S9" i="56"/>
  <c r="R9" i="56"/>
  <c r="Q9" i="56"/>
  <c r="R8" i="56"/>
  <c r="S8" i="56" s="1"/>
  <c r="Q8" i="56"/>
  <c r="R7" i="56"/>
  <c r="S7" i="56" s="1"/>
  <c r="Q7" i="56"/>
  <c r="R6" i="56"/>
  <c r="S6" i="56" s="1"/>
  <c r="Q6" i="56"/>
  <c r="R5" i="56"/>
  <c r="S5" i="56" s="1"/>
  <c r="Q5" i="56"/>
  <c r="D161" i="55"/>
  <c r="B161" i="55"/>
  <c r="D160" i="55"/>
  <c r="C160" i="55"/>
  <c r="D159" i="55"/>
  <c r="C159" i="55"/>
  <c r="D158" i="55"/>
  <c r="C158" i="55"/>
  <c r="C156" i="55"/>
  <c r="D155" i="55"/>
  <c r="C155" i="55"/>
  <c r="D154" i="55"/>
  <c r="C154" i="55"/>
  <c r="D153" i="55"/>
  <c r="C153" i="55"/>
  <c r="D152" i="55"/>
  <c r="C152" i="55"/>
  <c r="D151" i="55"/>
  <c r="C151" i="55"/>
  <c r="D150" i="55"/>
  <c r="C150" i="55"/>
  <c r="C148" i="55"/>
  <c r="D147" i="55"/>
  <c r="C147" i="55"/>
  <c r="D146" i="55"/>
  <c r="C146" i="55"/>
  <c r="D145" i="55"/>
  <c r="D144" i="55"/>
  <c r="C144" i="55"/>
  <c r="D143" i="55"/>
  <c r="C143" i="55"/>
  <c r="D142" i="55"/>
  <c r="C142" i="55"/>
  <c r="D141" i="55"/>
  <c r="C140" i="55"/>
  <c r="C139" i="55"/>
  <c r="D138" i="55"/>
  <c r="C138" i="55"/>
  <c r="D137" i="55"/>
  <c r="C137" i="55"/>
  <c r="D136" i="55"/>
  <c r="C136" i="55"/>
  <c r="D135" i="55"/>
  <c r="C135" i="55"/>
  <c r="D134" i="55"/>
  <c r="D133" i="55"/>
  <c r="C133" i="55"/>
  <c r="C132" i="55"/>
  <c r="C131" i="55"/>
  <c r="D130" i="55"/>
  <c r="C130" i="55"/>
  <c r="D129" i="55"/>
  <c r="C129" i="55"/>
  <c r="D128" i="55"/>
  <c r="C128" i="55"/>
  <c r="D127" i="55"/>
  <c r="D126" i="55"/>
  <c r="D125" i="55"/>
  <c r="C125" i="55"/>
  <c r="C124" i="55"/>
  <c r="C123" i="55"/>
  <c r="D122" i="55"/>
  <c r="C122" i="55"/>
  <c r="D121" i="55"/>
  <c r="C121" i="55"/>
  <c r="D120" i="55"/>
  <c r="C120" i="55"/>
  <c r="D119" i="55"/>
  <c r="D118" i="55"/>
  <c r="D117" i="55"/>
  <c r="C117" i="55"/>
  <c r="C116" i="55"/>
  <c r="C115" i="55"/>
  <c r="D114" i="55"/>
  <c r="C114" i="55"/>
  <c r="D113" i="55"/>
  <c r="C113" i="55"/>
  <c r="D112" i="55"/>
  <c r="C112" i="55"/>
  <c r="D111" i="55"/>
  <c r="D110" i="55"/>
  <c r="D109" i="55"/>
  <c r="C109" i="55"/>
  <c r="C108" i="55"/>
  <c r="C107" i="55"/>
  <c r="D106" i="55"/>
  <c r="C106" i="55"/>
  <c r="D105" i="55"/>
  <c r="C105" i="55"/>
  <c r="D104" i="55"/>
  <c r="C104" i="55"/>
  <c r="D103" i="55"/>
  <c r="D102" i="55"/>
  <c r="D101" i="55"/>
  <c r="C101" i="55"/>
  <c r="C100" i="55"/>
  <c r="C99" i="55"/>
  <c r="D98" i="55"/>
  <c r="C98" i="55"/>
  <c r="D97" i="55"/>
  <c r="C97" i="55"/>
  <c r="D96" i="55"/>
  <c r="C96" i="55"/>
  <c r="D95" i="55"/>
  <c r="D94" i="55"/>
  <c r="D93" i="55"/>
  <c r="C93" i="55"/>
  <c r="C92" i="55"/>
  <c r="C91" i="55"/>
  <c r="D90" i="55"/>
  <c r="C90" i="55"/>
  <c r="D89" i="55"/>
  <c r="C89" i="55"/>
  <c r="D88" i="55"/>
  <c r="C88" i="55"/>
  <c r="D87" i="55"/>
  <c r="D86" i="55"/>
  <c r="D85" i="55"/>
  <c r="C85" i="55"/>
  <c r="C84" i="55"/>
  <c r="C83" i="55"/>
  <c r="D82" i="55"/>
  <c r="C82" i="55"/>
  <c r="D81" i="55"/>
  <c r="C81" i="55"/>
  <c r="D80" i="55"/>
  <c r="C80" i="55"/>
  <c r="D79" i="55"/>
  <c r="D78" i="55"/>
  <c r="D77" i="55"/>
  <c r="C77" i="55"/>
  <c r="C76" i="55"/>
  <c r="C75" i="55"/>
  <c r="D74" i="55"/>
  <c r="C74" i="55"/>
  <c r="D73" i="55"/>
  <c r="D72" i="55" s="1"/>
  <c r="C73" i="55"/>
  <c r="C72" i="55" s="1"/>
  <c r="D70" i="55"/>
  <c r="B70" i="55"/>
  <c r="D69" i="55"/>
  <c r="B69" i="55"/>
  <c r="D68" i="55"/>
  <c r="C68" i="55"/>
  <c r="C66" i="55"/>
  <c r="D65" i="55"/>
  <c r="D64" i="55"/>
  <c r="D63" i="55"/>
  <c r="C63" i="55"/>
  <c r="D62" i="55"/>
  <c r="C62" i="55"/>
  <c r="D61" i="55"/>
  <c r="C61" i="55"/>
  <c r="D60" i="55"/>
  <c r="C60" i="55"/>
  <c r="D59" i="55"/>
  <c r="C59" i="55"/>
  <c r="C58" i="55"/>
  <c r="D57" i="55"/>
  <c r="D56" i="55"/>
  <c r="D55" i="55"/>
  <c r="C55" i="55"/>
  <c r="D54" i="55"/>
  <c r="C54" i="55"/>
  <c r="D53" i="55"/>
  <c r="C53" i="55"/>
  <c r="D52" i="55"/>
  <c r="C52" i="55"/>
  <c r="D51" i="55"/>
  <c r="C51" i="55"/>
  <c r="C50" i="55"/>
  <c r="D49" i="55"/>
  <c r="D48" i="55"/>
  <c r="D47" i="55"/>
  <c r="C47" i="55"/>
  <c r="D46" i="55"/>
  <c r="C46" i="55"/>
  <c r="D45" i="55"/>
  <c r="C45" i="55"/>
  <c r="D44" i="55"/>
  <c r="C44" i="55"/>
  <c r="D43" i="55"/>
  <c r="C43" i="55"/>
  <c r="C42" i="55"/>
  <c r="D41" i="55"/>
  <c r="D40" i="55"/>
  <c r="D37" i="55"/>
  <c r="C37" i="55"/>
  <c r="D36" i="55"/>
  <c r="C36" i="55"/>
  <c r="D35" i="55"/>
  <c r="C35" i="55"/>
  <c r="D34" i="55"/>
  <c r="C34" i="55"/>
  <c r="D32" i="55"/>
  <c r="D31" i="55"/>
  <c r="C31" i="55"/>
  <c r="D30" i="55"/>
  <c r="C30" i="55"/>
  <c r="D29" i="55"/>
  <c r="C29" i="55"/>
  <c r="D28" i="55"/>
  <c r="C28" i="55"/>
  <c r="D27" i="55"/>
  <c r="C27" i="55"/>
  <c r="D26" i="55"/>
  <c r="C26" i="55"/>
  <c r="D24" i="55"/>
  <c r="D23" i="55"/>
  <c r="C23" i="55"/>
  <c r="D22" i="55"/>
  <c r="C22" i="55"/>
  <c r="C21" i="55" s="1"/>
  <c r="D15" i="55"/>
  <c r="D11" i="55"/>
  <c r="E11" i="55" s="1"/>
  <c r="D7" i="55"/>
  <c r="D5" i="55"/>
  <c r="D39" i="55" l="1"/>
  <c r="D21" i="55"/>
  <c r="D18" i="55" s="1"/>
  <c r="E18" i="55" s="1"/>
  <c r="C84" i="56"/>
  <c r="C145" i="58"/>
  <c r="J54" i="58"/>
  <c r="C39" i="55"/>
  <c r="C18" i="55"/>
  <c r="S4" i="56"/>
  <c r="Q71" i="56"/>
  <c r="C5" i="55"/>
  <c r="C13" i="55" s="1"/>
  <c r="H71" i="56"/>
  <c r="H82" i="56" s="1"/>
  <c r="H84" i="56" s="1"/>
  <c r="M80" i="56"/>
  <c r="M82" i="56" s="1"/>
  <c r="M84" i="56" s="1"/>
  <c r="D9" i="55"/>
  <c r="Q48" i="56"/>
  <c r="C7" i="55" s="1"/>
  <c r="E7" i="55" s="1"/>
  <c r="Q80" i="56" l="1"/>
  <c r="C15" i="55" s="1"/>
  <c r="E15" i="55" s="1"/>
  <c r="Q82" i="56"/>
  <c r="C17" i="55"/>
  <c r="C19" i="55" s="1"/>
  <c r="E5" i="55"/>
  <c r="C147" i="58"/>
  <c r="J147" i="58" s="1"/>
  <c r="J145" i="58"/>
  <c r="D13" i="55"/>
  <c r="E9" i="55"/>
  <c r="D17" i="55" l="1"/>
  <c r="E13" i="55"/>
  <c r="R82" i="56"/>
  <c r="Q84" i="56"/>
  <c r="E17" i="55" l="1"/>
  <c r="D19" i="55"/>
  <c r="E19" i="55" s="1"/>
  <c r="J149" i="53" l="1"/>
  <c r="J146" i="53"/>
  <c r="I144" i="53"/>
  <c r="H144" i="53"/>
  <c r="G144" i="53"/>
  <c r="F144" i="53"/>
  <c r="F145" i="53" s="1"/>
  <c r="F147" i="53" s="1"/>
  <c r="E144" i="53"/>
  <c r="D144" i="53"/>
  <c r="C144" i="53"/>
  <c r="J144" i="53" s="1"/>
  <c r="J143" i="53"/>
  <c r="J142" i="53"/>
  <c r="J141" i="53"/>
  <c r="D153" i="50" s="1"/>
  <c r="J140" i="53"/>
  <c r="D152" i="50" s="1"/>
  <c r="J139" i="53"/>
  <c r="D151" i="50" s="1"/>
  <c r="J138" i="53"/>
  <c r="J137" i="53"/>
  <c r="J136" i="53"/>
  <c r="J135" i="53"/>
  <c r="J134" i="53"/>
  <c r="J133" i="53"/>
  <c r="D145" i="50" s="1"/>
  <c r="J132" i="53"/>
  <c r="D144" i="50" s="1"/>
  <c r="J131" i="53"/>
  <c r="D143" i="50" s="1"/>
  <c r="J130" i="53"/>
  <c r="J129" i="53"/>
  <c r="J127" i="53"/>
  <c r="J126" i="53"/>
  <c r="J125" i="53"/>
  <c r="J124" i="53"/>
  <c r="D136" i="50" s="1"/>
  <c r="J123" i="53"/>
  <c r="D135" i="50" s="1"/>
  <c r="J122" i="53"/>
  <c r="D134" i="50" s="1"/>
  <c r="J121" i="53"/>
  <c r="J120" i="53"/>
  <c r="J119" i="53"/>
  <c r="J118" i="53"/>
  <c r="J117" i="53"/>
  <c r="J116" i="53"/>
  <c r="D128" i="50" s="1"/>
  <c r="J115" i="53"/>
  <c r="D127" i="50" s="1"/>
  <c r="J114" i="53"/>
  <c r="D126" i="50" s="1"/>
  <c r="J113" i="53"/>
  <c r="J112" i="53"/>
  <c r="J111" i="53"/>
  <c r="J110" i="53"/>
  <c r="J109" i="53"/>
  <c r="J108" i="53"/>
  <c r="D120" i="50" s="1"/>
  <c r="J107" i="53"/>
  <c r="D119" i="50" s="1"/>
  <c r="J106" i="53"/>
  <c r="D118" i="50" s="1"/>
  <c r="J105" i="53"/>
  <c r="J104" i="53"/>
  <c r="J103" i="53"/>
  <c r="J102" i="53"/>
  <c r="J101" i="53"/>
  <c r="J100" i="53"/>
  <c r="D112" i="50" s="1"/>
  <c r="J99" i="53"/>
  <c r="D111" i="50" s="1"/>
  <c r="J98" i="53"/>
  <c r="D110" i="50" s="1"/>
  <c r="J97" i="53"/>
  <c r="J96" i="53"/>
  <c r="J95" i="53"/>
  <c r="J94" i="53"/>
  <c r="J93" i="53"/>
  <c r="J92" i="53"/>
  <c r="D104" i="50" s="1"/>
  <c r="J91" i="53"/>
  <c r="D103" i="50" s="1"/>
  <c r="J90" i="53"/>
  <c r="D102" i="50" s="1"/>
  <c r="J89" i="53"/>
  <c r="J88" i="53"/>
  <c r="J87" i="53"/>
  <c r="J86" i="53"/>
  <c r="J85" i="53"/>
  <c r="J84" i="53"/>
  <c r="D96" i="50" s="1"/>
  <c r="J83" i="53"/>
  <c r="D95" i="50" s="1"/>
  <c r="J82" i="53"/>
  <c r="D94" i="50" s="1"/>
  <c r="J81" i="53"/>
  <c r="J80" i="53"/>
  <c r="J79" i="53"/>
  <c r="J78" i="53"/>
  <c r="J77" i="53"/>
  <c r="J76" i="53"/>
  <c r="D88" i="50" s="1"/>
  <c r="J75" i="53"/>
  <c r="D87" i="50" s="1"/>
  <c r="J74" i="53"/>
  <c r="D86" i="50" s="1"/>
  <c r="J73" i="53"/>
  <c r="J72" i="53"/>
  <c r="J71" i="53"/>
  <c r="J70" i="53"/>
  <c r="J69" i="53"/>
  <c r="J68" i="53"/>
  <c r="D80" i="50" s="1"/>
  <c r="J67" i="53"/>
  <c r="D79" i="50" s="1"/>
  <c r="J66" i="53"/>
  <c r="D78" i="50" s="1"/>
  <c r="J65" i="53"/>
  <c r="J64" i="53"/>
  <c r="J63" i="53"/>
  <c r="J62" i="53"/>
  <c r="J61" i="53"/>
  <c r="J60" i="53"/>
  <c r="D72" i="50" s="1"/>
  <c r="J59" i="53"/>
  <c r="D71" i="50" s="1"/>
  <c r="J58" i="53"/>
  <c r="D70" i="50" s="1"/>
  <c r="J57" i="53"/>
  <c r="J56" i="53"/>
  <c r="F54" i="53"/>
  <c r="E54" i="53"/>
  <c r="E145" i="53" s="1"/>
  <c r="E147" i="53" s="1"/>
  <c r="D54" i="53"/>
  <c r="D145" i="53" s="1"/>
  <c r="D147" i="53" s="1"/>
  <c r="J53" i="53"/>
  <c r="J52" i="53"/>
  <c r="I51" i="53"/>
  <c r="I54" i="53" s="1"/>
  <c r="I145" i="53" s="1"/>
  <c r="I147" i="53" s="1"/>
  <c r="H51" i="53"/>
  <c r="H54" i="53" s="1"/>
  <c r="H145" i="53" s="1"/>
  <c r="H147" i="53" s="1"/>
  <c r="G51" i="53"/>
  <c r="G54" i="53" s="1"/>
  <c r="G145" i="53" s="1"/>
  <c r="G147" i="53" s="1"/>
  <c r="F51" i="53"/>
  <c r="J51" i="53" s="1"/>
  <c r="E51" i="53"/>
  <c r="D51" i="53"/>
  <c r="C51" i="53"/>
  <c r="C54" i="53" s="1"/>
  <c r="J50" i="53"/>
  <c r="J49" i="53"/>
  <c r="J48" i="53"/>
  <c r="J47" i="53"/>
  <c r="D65" i="50" s="1"/>
  <c r="J46" i="53"/>
  <c r="J45" i="53"/>
  <c r="J44" i="53"/>
  <c r="J43" i="53"/>
  <c r="J42" i="53"/>
  <c r="J41" i="53"/>
  <c r="D59" i="50" s="1"/>
  <c r="J40" i="53"/>
  <c r="D58" i="50" s="1"/>
  <c r="J39" i="53"/>
  <c r="D57" i="50" s="1"/>
  <c r="J38" i="53"/>
  <c r="J37" i="53"/>
  <c r="J36" i="53"/>
  <c r="J35" i="53"/>
  <c r="J34" i="53"/>
  <c r="J33" i="53"/>
  <c r="D51" i="50" s="1"/>
  <c r="J32" i="53"/>
  <c r="D50" i="50" s="1"/>
  <c r="J31" i="53"/>
  <c r="D49" i="50" s="1"/>
  <c r="J30" i="53"/>
  <c r="J29" i="53"/>
  <c r="J28" i="53"/>
  <c r="J27" i="53"/>
  <c r="J26" i="53"/>
  <c r="J25" i="53"/>
  <c r="D43" i="50" s="1"/>
  <c r="J24" i="53"/>
  <c r="D42" i="50" s="1"/>
  <c r="J23" i="53"/>
  <c r="D41" i="50" s="1"/>
  <c r="J22" i="53"/>
  <c r="J21" i="53"/>
  <c r="J20" i="53"/>
  <c r="J18" i="53"/>
  <c r="J17" i="53"/>
  <c r="J16" i="53"/>
  <c r="J15" i="53"/>
  <c r="D34" i="50" s="1"/>
  <c r="J14" i="53"/>
  <c r="D33" i="50" s="1"/>
  <c r="J13" i="53"/>
  <c r="J12" i="53"/>
  <c r="J11" i="53"/>
  <c r="J10" i="53"/>
  <c r="J9" i="53"/>
  <c r="J8" i="53"/>
  <c r="J7" i="53"/>
  <c r="D26" i="50" s="1"/>
  <c r="J6" i="53"/>
  <c r="D25" i="50" s="1"/>
  <c r="J5" i="53"/>
  <c r="J4" i="53"/>
  <c r="J3" i="53"/>
  <c r="G81" i="52"/>
  <c r="C81" i="52"/>
  <c r="B149" i="53" s="1"/>
  <c r="H79" i="52"/>
  <c r="G79" i="52"/>
  <c r="F79" i="52"/>
  <c r="E79" i="52"/>
  <c r="D79" i="52"/>
  <c r="E74" i="52"/>
  <c r="H71" i="52"/>
  <c r="G71" i="52"/>
  <c r="F71" i="52"/>
  <c r="E71" i="52"/>
  <c r="D71" i="52"/>
  <c r="G67" i="52"/>
  <c r="F67" i="52"/>
  <c r="E67" i="52"/>
  <c r="D67" i="52"/>
  <c r="H57" i="52"/>
  <c r="G57" i="52"/>
  <c r="F57" i="52"/>
  <c r="E57" i="52"/>
  <c r="D57" i="52"/>
  <c r="D74" i="52" s="1"/>
  <c r="H49" i="52"/>
  <c r="G49" i="52"/>
  <c r="F49" i="52"/>
  <c r="E49" i="52"/>
  <c r="D49" i="52"/>
  <c r="H33" i="52"/>
  <c r="H74" i="52" s="1"/>
  <c r="G33" i="52"/>
  <c r="G74" i="52" s="1"/>
  <c r="F33" i="52"/>
  <c r="F74" i="52" s="1"/>
  <c r="E33" i="52"/>
  <c r="D33" i="52"/>
  <c r="R221" i="51"/>
  <c r="R220" i="51"/>
  <c r="R219" i="51"/>
  <c r="R218" i="51"/>
  <c r="C154" i="50" s="1"/>
  <c r="R217" i="51"/>
  <c r="C153" i="50" s="1"/>
  <c r="R216" i="51"/>
  <c r="C152" i="50" s="1"/>
  <c r="R215" i="51"/>
  <c r="R214" i="51"/>
  <c r="R213" i="51"/>
  <c r="R212" i="51"/>
  <c r="R211" i="51"/>
  <c r="R210" i="51"/>
  <c r="C146" i="50" s="1"/>
  <c r="R209" i="51"/>
  <c r="C145" i="50" s="1"/>
  <c r="R208" i="51"/>
  <c r="C144" i="50" s="1"/>
  <c r="R207" i="51"/>
  <c r="R206" i="51"/>
  <c r="R205" i="51"/>
  <c r="R204" i="51"/>
  <c r="R203" i="51"/>
  <c r="R202" i="51"/>
  <c r="R201" i="51"/>
  <c r="R200" i="51"/>
  <c r="C136" i="50" s="1"/>
  <c r="R199" i="51"/>
  <c r="R198" i="51"/>
  <c r="R197" i="51"/>
  <c r="R196" i="51"/>
  <c r="R195" i="51"/>
  <c r="R194" i="51"/>
  <c r="R193" i="51"/>
  <c r="R192" i="51"/>
  <c r="C128" i="50" s="1"/>
  <c r="R191" i="51"/>
  <c r="R190" i="51"/>
  <c r="R189" i="51"/>
  <c r="R188" i="51"/>
  <c r="R187" i="51"/>
  <c r="R186" i="51"/>
  <c r="R185" i="51"/>
  <c r="R184" i="51"/>
  <c r="C120" i="50" s="1"/>
  <c r="R183" i="51"/>
  <c r="R182" i="51"/>
  <c r="R181" i="51"/>
  <c r="R180" i="51"/>
  <c r="R179" i="51"/>
  <c r="R178" i="51"/>
  <c r="R177" i="51"/>
  <c r="R176" i="51"/>
  <c r="C112" i="50" s="1"/>
  <c r="R175" i="51"/>
  <c r="R174" i="51"/>
  <c r="R173" i="51"/>
  <c r="R172" i="51"/>
  <c r="R171" i="51"/>
  <c r="R170" i="51"/>
  <c r="R169" i="51"/>
  <c r="R168" i="51"/>
  <c r="C104" i="50" s="1"/>
  <c r="R167" i="51"/>
  <c r="R166" i="51"/>
  <c r="R165" i="51"/>
  <c r="R164" i="51"/>
  <c r="R163" i="51"/>
  <c r="R162" i="51"/>
  <c r="R161" i="51"/>
  <c r="R160" i="51"/>
  <c r="C96" i="50" s="1"/>
  <c r="R159" i="51"/>
  <c r="R158" i="51"/>
  <c r="R157" i="51"/>
  <c r="R156" i="51"/>
  <c r="R155" i="51"/>
  <c r="R154" i="51"/>
  <c r="R153" i="51"/>
  <c r="R152" i="51"/>
  <c r="C88" i="50" s="1"/>
  <c r="R151" i="51"/>
  <c r="R150" i="51"/>
  <c r="R149" i="51"/>
  <c r="R148" i="51"/>
  <c r="R147" i="51"/>
  <c r="R146" i="51"/>
  <c r="R145" i="51"/>
  <c r="R144" i="51"/>
  <c r="C80" i="50" s="1"/>
  <c r="R143" i="51"/>
  <c r="R142" i="51"/>
  <c r="R141" i="51"/>
  <c r="R140" i="51"/>
  <c r="R139" i="51"/>
  <c r="R138" i="51"/>
  <c r="R137" i="51"/>
  <c r="R136" i="51"/>
  <c r="C72" i="50" s="1"/>
  <c r="R135" i="51"/>
  <c r="R134" i="51"/>
  <c r="R133" i="51"/>
  <c r="R132" i="51"/>
  <c r="R129" i="51"/>
  <c r="R128" i="51"/>
  <c r="R127" i="51"/>
  <c r="C63" i="50" s="1"/>
  <c r="R126" i="51"/>
  <c r="C62" i="50" s="1"/>
  <c r="R125" i="51"/>
  <c r="R124" i="51"/>
  <c r="R123" i="51"/>
  <c r="R122" i="51"/>
  <c r="R121" i="51"/>
  <c r="R120" i="51"/>
  <c r="R119" i="51"/>
  <c r="C55" i="50" s="1"/>
  <c r="R118" i="51"/>
  <c r="C54" i="50" s="1"/>
  <c r="R117" i="51"/>
  <c r="R116" i="51"/>
  <c r="R115" i="51"/>
  <c r="R114" i="51"/>
  <c r="R113" i="51"/>
  <c r="R112" i="51"/>
  <c r="R111" i="51"/>
  <c r="C47" i="50" s="1"/>
  <c r="R110" i="51"/>
  <c r="C46" i="50" s="1"/>
  <c r="R109" i="51"/>
  <c r="R108" i="51"/>
  <c r="R107" i="51"/>
  <c r="R106" i="51"/>
  <c r="R105" i="51"/>
  <c r="R104" i="51"/>
  <c r="R103" i="51"/>
  <c r="C39" i="50" s="1"/>
  <c r="C38" i="50" s="1"/>
  <c r="R102" i="51"/>
  <c r="R101" i="51"/>
  <c r="R100" i="51"/>
  <c r="R99" i="51"/>
  <c r="R98" i="51"/>
  <c r="R97" i="51"/>
  <c r="R96" i="51"/>
  <c r="R95" i="51"/>
  <c r="R94" i="51"/>
  <c r="R93" i="51"/>
  <c r="R92" i="51"/>
  <c r="R91" i="51"/>
  <c r="R90" i="51"/>
  <c r="R89" i="51"/>
  <c r="R88" i="51"/>
  <c r="C25" i="50" s="1"/>
  <c r="R87" i="51"/>
  <c r="C24" i="50" s="1"/>
  <c r="R86" i="51"/>
  <c r="R85" i="51"/>
  <c r="Q81" i="51"/>
  <c r="P81" i="51"/>
  <c r="O81" i="51"/>
  <c r="N81" i="51"/>
  <c r="M81" i="51"/>
  <c r="L81" i="51"/>
  <c r="K81" i="51"/>
  <c r="J81" i="51"/>
  <c r="I81" i="51"/>
  <c r="H81" i="51"/>
  <c r="G81" i="51"/>
  <c r="F81" i="51"/>
  <c r="E81" i="51"/>
  <c r="D81" i="51"/>
  <c r="C81" i="51"/>
  <c r="R81" i="51" s="1"/>
  <c r="Q78" i="51"/>
  <c r="P78" i="51"/>
  <c r="O78" i="51"/>
  <c r="N78" i="51"/>
  <c r="M78" i="51"/>
  <c r="M80" i="51" s="1"/>
  <c r="M82" i="51" s="1"/>
  <c r="L78" i="51"/>
  <c r="L80" i="51" s="1"/>
  <c r="L82" i="51" s="1"/>
  <c r="K78" i="51"/>
  <c r="K80" i="51" s="1"/>
  <c r="K82" i="51" s="1"/>
  <c r="J78" i="51"/>
  <c r="J80" i="51" s="1"/>
  <c r="J82" i="51" s="1"/>
  <c r="I78" i="51"/>
  <c r="H78" i="51"/>
  <c r="G78" i="51"/>
  <c r="F78" i="51"/>
  <c r="E78" i="51"/>
  <c r="E80" i="51" s="1"/>
  <c r="E82" i="51" s="1"/>
  <c r="D78" i="51"/>
  <c r="C78" i="51"/>
  <c r="C80" i="51" s="1"/>
  <c r="S76" i="51"/>
  <c r="R76" i="51"/>
  <c r="S75" i="51"/>
  <c r="R75" i="51"/>
  <c r="S74" i="51"/>
  <c r="R74" i="51"/>
  <c r="S73" i="51"/>
  <c r="R73" i="51"/>
  <c r="S72" i="51"/>
  <c r="R72" i="51"/>
  <c r="S71" i="51"/>
  <c r="R71" i="51"/>
  <c r="Q67" i="51"/>
  <c r="Q69" i="51" s="1"/>
  <c r="P67" i="51"/>
  <c r="P69" i="51" s="1"/>
  <c r="O67" i="51"/>
  <c r="O69" i="51" s="1"/>
  <c r="N67" i="51"/>
  <c r="N69" i="51" s="1"/>
  <c r="M67" i="51"/>
  <c r="M69" i="51" s="1"/>
  <c r="L67" i="51"/>
  <c r="L69" i="51" s="1"/>
  <c r="K67" i="51"/>
  <c r="K69" i="51" s="1"/>
  <c r="J67" i="51"/>
  <c r="J69" i="51" s="1"/>
  <c r="I67" i="51"/>
  <c r="R67" i="51" s="1"/>
  <c r="C11" i="50" s="1"/>
  <c r="H67" i="51"/>
  <c r="H69" i="51" s="1"/>
  <c r="G67" i="51"/>
  <c r="G69" i="51" s="1"/>
  <c r="F67" i="51"/>
  <c r="F69" i="51" s="1"/>
  <c r="E67" i="51"/>
  <c r="E69" i="51" s="1"/>
  <c r="D67" i="51"/>
  <c r="C67" i="51"/>
  <c r="C69" i="51" s="1"/>
  <c r="S65" i="51"/>
  <c r="S64" i="51"/>
  <c r="H62" i="52" s="1"/>
  <c r="H67" i="52" s="1"/>
  <c r="S63" i="51"/>
  <c r="S62" i="51"/>
  <c r="Q60" i="51"/>
  <c r="P60" i="51"/>
  <c r="O60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R60" i="51" s="1"/>
  <c r="C9" i="50" s="1"/>
  <c r="S58" i="51"/>
  <c r="R58" i="51"/>
  <c r="S57" i="51"/>
  <c r="R57" i="51"/>
  <c r="S56" i="51"/>
  <c r="R56" i="51"/>
  <c r="S55" i="51"/>
  <c r="R55" i="51"/>
  <c r="S54" i="51"/>
  <c r="R54" i="51"/>
  <c r="S53" i="51"/>
  <c r="R53" i="51"/>
  <c r="S52" i="51"/>
  <c r="R52" i="51"/>
  <c r="S51" i="51"/>
  <c r="R51" i="51"/>
  <c r="S50" i="51"/>
  <c r="R50" i="51"/>
  <c r="S49" i="51"/>
  <c r="R49" i="51"/>
  <c r="S48" i="51"/>
  <c r="R48" i="51"/>
  <c r="Q46" i="51"/>
  <c r="P46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C46" i="51"/>
  <c r="R46" i="51" s="1"/>
  <c r="C7" i="50" s="1"/>
  <c r="S44" i="51"/>
  <c r="R44" i="51"/>
  <c r="S43" i="51"/>
  <c r="R43" i="51"/>
  <c r="S42" i="51"/>
  <c r="R42" i="51"/>
  <c r="S41" i="51"/>
  <c r="R41" i="51"/>
  <c r="S40" i="51"/>
  <c r="R40" i="51"/>
  <c r="S39" i="51"/>
  <c r="R39" i="51"/>
  <c r="S38" i="51"/>
  <c r="R38" i="51"/>
  <c r="S37" i="51"/>
  <c r="R37" i="51"/>
  <c r="S36" i="51"/>
  <c r="R36" i="51"/>
  <c r="S35" i="51"/>
  <c r="R35" i="51"/>
  <c r="Q33" i="51"/>
  <c r="P33" i="51"/>
  <c r="O33" i="51"/>
  <c r="N33" i="51"/>
  <c r="M33" i="51"/>
  <c r="L33" i="51"/>
  <c r="K33" i="51"/>
  <c r="J33" i="51"/>
  <c r="I33" i="51"/>
  <c r="H33" i="51"/>
  <c r="G33" i="51"/>
  <c r="F33" i="51"/>
  <c r="E33" i="51"/>
  <c r="C33" i="51"/>
  <c r="S31" i="51"/>
  <c r="R31" i="51"/>
  <c r="S30" i="51"/>
  <c r="R30" i="51"/>
  <c r="S29" i="51"/>
  <c r="R29" i="51"/>
  <c r="S28" i="51"/>
  <c r="R28" i="51"/>
  <c r="S27" i="51"/>
  <c r="R27" i="51"/>
  <c r="S26" i="51"/>
  <c r="R26" i="51"/>
  <c r="S25" i="51"/>
  <c r="R25" i="51"/>
  <c r="S24" i="51"/>
  <c r="R24" i="51"/>
  <c r="S23" i="51"/>
  <c r="R23" i="51"/>
  <c r="S22" i="51"/>
  <c r="R22" i="51"/>
  <c r="S21" i="51"/>
  <c r="R21" i="51"/>
  <c r="S20" i="51"/>
  <c r="R20" i="51"/>
  <c r="S19" i="51"/>
  <c r="R19" i="51"/>
  <c r="S18" i="51"/>
  <c r="R18" i="51"/>
  <c r="S17" i="51"/>
  <c r="R17" i="51"/>
  <c r="S16" i="51"/>
  <c r="R16" i="51"/>
  <c r="S15" i="51"/>
  <c r="R15" i="51"/>
  <c r="S14" i="51"/>
  <c r="R14" i="51"/>
  <c r="S13" i="51"/>
  <c r="R13" i="51"/>
  <c r="R12" i="51"/>
  <c r="D12" i="51"/>
  <c r="D33" i="51" s="1"/>
  <c r="S11" i="51"/>
  <c r="T11" i="51" s="1"/>
  <c r="R11" i="51"/>
  <c r="T10" i="51"/>
  <c r="S10" i="51"/>
  <c r="R10" i="51"/>
  <c r="T9" i="51"/>
  <c r="S9" i="51"/>
  <c r="R9" i="51"/>
  <c r="S8" i="51"/>
  <c r="R8" i="51"/>
  <c r="T7" i="51"/>
  <c r="S7" i="51"/>
  <c r="R7" i="51"/>
  <c r="T6" i="51"/>
  <c r="S6" i="51"/>
  <c r="R6" i="51"/>
  <c r="S5" i="51"/>
  <c r="T5" i="51" s="1"/>
  <c r="T4" i="51" s="1"/>
  <c r="R5" i="51"/>
  <c r="D156" i="50"/>
  <c r="C156" i="50"/>
  <c r="B156" i="50"/>
  <c r="D155" i="50"/>
  <c r="C155" i="50"/>
  <c r="D154" i="50"/>
  <c r="C151" i="50"/>
  <c r="D150" i="50"/>
  <c r="C150" i="50"/>
  <c r="D149" i="50"/>
  <c r="C149" i="50"/>
  <c r="D148" i="50"/>
  <c r="C148" i="50"/>
  <c r="D147" i="50"/>
  <c r="C147" i="50"/>
  <c r="D146" i="50"/>
  <c r="C143" i="50"/>
  <c r="D142" i="50"/>
  <c r="C142" i="50"/>
  <c r="D141" i="50"/>
  <c r="D139" i="50"/>
  <c r="C139" i="50"/>
  <c r="D138" i="50"/>
  <c r="C138" i="50"/>
  <c r="D137" i="50"/>
  <c r="C137" i="50"/>
  <c r="C135" i="50"/>
  <c r="C134" i="50"/>
  <c r="D133" i="50"/>
  <c r="C133" i="50"/>
  <c r="D132" i="50"/>
  <c r="C132" i="50"/>
  <c r="D131" i="50"/>
  <c r="C131" i="50"/>
  <c r="D130" i="50"/>
  <c r="C130" i="50"/>
  <c r="D129" i="50"/>
  <c r="C129" i="50"/>
  <c r="C127" i="50"/>
  <c r="C126" i="50"/>
  <c r="D125" i="50"/>
  <c r="C125" i="50"/>
  <c r="D124" i="50"/>
  <c r="C124" i="50"/>
  <c r="D123" i="50"/>
  <c r="C123" i="50"/>
  <c r="D122" i="50"/>
  <c r="C122" i="50"/>
  <c r="D121" i="50"/>
  <c r="C121" i="50"/>
  <c r="C119" i="50"/>
  <c r="C118" i="50"/>
  <c r="D117" i="50"/>
  <c r="C117" i="50"/>
  <c r="D116" i="50"/>
  <c r="C116" i="50"/>
  <c r="D115" i="50"/>
  <c r="C115" i="50"/>
  <c r="D114" i="50"/>
  <c r="C114" i="50"/>
  <c r="D113" i="50"/>
  <c r="C113" i="50"/>
  <c r="C111" i="50"/>
  <c r="C110" i="50"/>
  <c r="D109" i="50"/>
  <c r="C109" i="50"/>
  <c r="D108" i="50"/>
  <c r="C108" i="50"/>
  <c r="D107" i="50"/>
  <c r="C107" i="50"/>
  <c r="D106" i="50"/>
  <c r="C106" i="50"/>
  <c r="D105" i="50"/>
  <c r="C105" i="50"/>
  <c r="C103" i="50"/>
  <c r="C102" i="50"/>
  <c r="D101" i="50"/>
  <c r="C101" i="50"/>
  <c r="D100" i="50"/>
  <c r="C100" i="50"/>
  <c r="D99" i="50"/>
  <c r="C99" i="50"/>
  <c r="D98" i="50"/>
  <c r="C98" i="50"/>
  <c r="D97" i="50"/>
  <c r="C97" i="50"/>
  <c r="C95" i="50"/>
  <c r="C94" i="50"/>
  <c r="D93" i="50"/>
  <c r="C93" i="50"/>
  <c r="D92" i="50"/>
  <c r="C92" i="50"/>
  <c r="D91" i="50"/>
  <c r="C91" i="50"/>
  <c r="D90" i="50"/>
  <c r="C90" i="50"/>
  <c r="D89" i="50"/>
  <c r="C89" i="50"/>
  <c r="C87" i="50"/>
  <c r="C86" i="50"/>
  <c r="D85" i="50"/>
  <c r="C85" i="50"/>
  <c r="D84" i="50"/>
  <c r="C84" i="50"/>
  <c r="D83" i="50"/>
  <c r="C83" i="50"/>
  <c r="D82" i="50"/>
  <c r="C82" i="50"/>
  <c r="D81" i="50"/>
  <c r="C81" i="50"/>
  <c r="C79" i="50"/>
  <c r="C78" i="50"/>
  <c r="D77" i="50"/>
  <c r="C77" i="50"/>
  <c r="D76" i="50"/>
  <c r="C76" i="50"/>
  <c r="D75" i="50"/>
  <c r="C75" i="50"/>
  <c r="D74" i="50"/>
  <c r="C74" i="50"/>
  <c r="D73" i="50"/>
  <c r="C73" i="50"/>
  <c r="C71" i="50"/>
  <c r="C70" i="50"/>
  <c r="D69" i="50"/>
  <c r="C69" i="50"/>
  <c r="D68" i="50"/>
  <c r="D67" i="50" s="1"/>
  <c r="C68" i="50"/>
  <c r="C65" i="50"/>
  <c r="D64" i="50"/>
  <c r="C64" i="50"/>
  <c r="D63" i="50"/>
  <c r="D62" i="50"/>
  <c r="D61" i="50"/>
  <c r="C61" i="50"/>
  <c r="D60" i="50"/>
  <c r="C60" i="50"/>
  <c r="C59" i="50"/>
  <c r="C58" i="50"/>
  <c r="C57" i="50"/>
  <c r="D56" i="50"/>
  <c r="C56" i="50"/>
  <c r="D55" i="50"/>
  <c r="D54" i="50"/>
  <c r="D53" i="50"/>
  <c r="C53" i="50"/>
  <c r="D52" i="50"/>
  <c r="C52" i="50"/>
  <c r="C51" i="50"/>
  <c r="C50" i="50"/>
  <c r="C49" i="50"/>
  <c r="D48" i="50"/>
  <c r="C48" i="50"/>
  <c r="D47" i="50"/>
  <c r="D46" i="50"/>
  <c r="D45" i="50"/>
  <c r="C45" i="50"/>
  <c r="D44" i="50"/>
  <c r="C44" i="50"/>
  <c r="C43" i="50"/>
  <c r="C42" i="50"/>
  <c r="C41" i="50"/>
  <c r="D40" i="50"/>
  <c r="C40" i="50"/>
  <c r="D39" i="50"/>
  <c r="D36" i="50"/>
  <c r="C36" i="50"/>
  <c r="D35" i="50"/>
  <c r="C35" i="50"/>
  <c r="C34" i="50"/>
  <c r="C33" i="50"/>
  <c r="D32" i="50"/>
  <c r="C32" i="50"/>
  <c r="D31" i="50"/>
  <c r="C31" i="50"/>
  <c r="D30" i="50"/>
  <c r="C30" i="50"/>
  <c r="D29" i="50"/>
  <c r="C29" i="50"/>
  <c r="D28" i="50"/>
  <c r="C28" i="50"/>
  <c r="D27" i="50"/>
  <c r="C27" i="50"/>
  <c r="C26" i="50"/>
  <c r="D24" i="50"/>
  <c r="D23" i="50"/>
  <c r="C23" i="50"/>
  <c r="D22" i="50"/>
  <c r="C22" i="50"/>
  <c r="D15" i="50"/>
  <c r="D9" i="50"/>
  <c r="E9" i="50" s="1"/>
  <c r="D7" i="50"/>
  <c r="E7" i="50" s="1"/>
  <c r="C82" i="51" l="1"/>
  <c r="F80" i="51"/>
  <c r="F82" i="51" s="1"/>
  <c r="N80" i="51"/>
  <c r="N82" i="51" s="1"/>
  <c r="D38" i="50"/>
  <c r="G80" i="51"/>
  <c r="G82" i="51" s="1"/>
  <c r="O80" i="51"/>
  <c r="O82" i="51" s="1"/>
  <c r="C145" i="53"/>
  <c r="J54" i="53"/>
  <c r="R33" i="51"/>
  <c r="D21" i="50"/>
  <c r="H80" i="51"/>
  <c r="H82" i="51" s="1"/>
  <c r="P80" i="51"/>
  <c r="P82" i="51" s="1"/>
  <c r="C21" i="50"/>
  <c r="C18" i="50" s="1"/>
  <c r="D69" i="51"/>
  <c r="D80" i="51" s="1"/>
  <c r="I80" i="51"/>
  <c r="I82" i="51" s="1"/>
  <c r="Q80" i="51"/>
  <c r="Q82" i="51" s="1"/>
  <c r="D11" i="50"/>
  <c r="E11" i="50" s="1"/>
  <c r="C67" i="50"/>
  <c r="H80" i="52"/>
  <c r="I69" i="51"/>
  <c r="D5" i="50"/>
  <c r="S12" i="51"/>
  <c r="R78" i="51"/>
  <c r="C15" i="50" s="1"/>
  <c r="E15" i="50" s="1"/>
  <c r="D82" i="51" l="1"/>
  <c r="R80" i="51"/>
  <c r="C147" i="53"/>
  <c r="J147" i="53" s="1"/>
  <c r="J145" i="53"/>
  <c r="D18" i="50"/>
  <c r="E18" i="50" s="1"/>
  <c r="R69" i="51"/>
  <c r="C5" i="50"/>
  <c r="C13" i="50" s="1"/>
  <c r="C17" i="50" s="1"/>
  <c r="C19" i="50" s="1"/>
  <c r="D13" i="50"/>
  <c r="E13" i="50" l="1"/>
  <c r="D17" i="50"/>
  <c r="R82" i="51"/>
  <c r="S80" i="51"/>
  <c r="E5" i="50"/>
  <c r="E17" i="50" l="1"/>
  <c r="D19" i="50"/>
  <c r="E19" i="50" s="1"/>
  <c r="J150" i="48" l="1"/>
  <c r="J147" i="48"/>
  <c r="I145" i="48"/>
  <c r="H145" i="48"/>
  <c r="G145" i="48"/>
  <c r="F145" i="48"/>
  <c r="F146" i="48" s="1"/>
  <c r="F148" i="48" s="1"/>
  <c r="E145" i="48"/>
  <c r="D145" i="48"/>
  <c r="C145" i="48"/>
  <c r="J145" i="48" s="1"/>
  <c r="J144" i="48"/>
  <c r="J143" i="48"/>
  <c r="J142" i="48"/>
  <c r="J141" i="48"/>
  <c r="J140" i="48"/>
  <c r="D158" i="45" s="1"/>
  <c r="E158" i="45" s="1"/>
  <c r="J139" i="48"/>
  <c r="J138" i="48"/>
  <c r="J137" i="48"/>
  <c r="J136" i="48"/>
  <c r="J135" i="48"/>
  <c r="J134" i="48"/>
  <c r="J133" i="48"/>
  <c r="D151" i="45" s="1"/>
  <c r="J132" i="48"/>
  <c r="D150" i="45" s="1"/>
  <c r="E150" i="45" s="1"/>
  <c r="J131" i="48"/>
  <c r="J130" i="48"/>
  <c r="J128" i="48"/>
  <c r="J127" i="48"/>
  <c r="J126" i="48"/>
  <c r="J125" i="48"/>
  <c r="J124" i="48"/>
  <c r="J123" i="48"/>
  <c r="D141" i="45" s="1"/>
  <c r="E141" i="45" s="1"/>
  <c r="J122" i="48"/>
  <c r="J121" i="48"/>
  <c r="J120" i="48"/>
  <c r="J119" i="48"/>
  <c r="J118" i="48"/>
  <c r="J117" i="48"/>
  <c r="J116" i="48"/>
  <c r="J115" i="48"/>
  <c r="J114" i="48"/>
  <c r="J113" i="48"/>
  <c r="J112" i="48"/>
  <c r="J111" i="48"/>
  <c r="J110" i="48"/>
  <c r="J109" i="48"/>
  <c r="J108" i="48"/>
  <c r="J107" i="48"/>
  <c r="J106" i="48"/>
  <c r="J105" i="48"/>
  <c r="J104" i="48"/>
  <c r="J103" i="48"/>
  <c r="J102" i="48"/>
  <c r="J101" i="48"/>
  <c r="J100" i="48"/>
  <c r="D118" i="45" s="1"/>
  <c r="J99" i="48"/>
  <c r="D117" i="45" s="1"/>
  <c r="E117" i="45" s="1"/>
  <c r="J98" i="48"/>
  <c r="J97" i="48"/>
  <c r="J96" i="48"/>
  <c r="J95" i="48"/>
  <c r="J94" i="48"/>
  <c r="J93" i="48"/>
  <c r="J92" i="48"/>
  <c r="D110" i="45" s="1"/>
  <c r="J91" i="48"/>
  <c r="D109" i="45" s="1"/>
  <c r="E109" i="45" s="1"/>
  <c r="J90" i="48"/>
  <c r="J89" i="48"/>
  <c r="J88" i="48"/>
  <c r="J87" i="48"/>
  <c r="J86" i="48"/>
  <c r="J85" i="48"/>
  <c r="J84" i="48"/>
  <c r="D102" i="45" s="1"/>
  <c r="E102" i="45" s="1"/>
  <c r="J83" i="48"/>
  <c r="J82" i="48"/>
  <c r="J81" i="48"/>
  <c r="J80" i="48"/>
  <c r="J79" i="48"/>
  <c r="J78" i="48"/>
  <c r="J77" i="48"/>
  <c r="J76" i="48"/>
  <c r="D94" i="45" s="1"/>
  <c r="E94" i="45" s="1"/>
  <c r="J75" i="48"/>
  <c r="D93" i="45" s="1"/>
  <c r="E93" i="45" s="1"/>
  <c r="J74" i="48"/>
  <c r="J73" i="48"/>
  <c r="J72" i="48"/>
  <c r="J71" i="48"/>
  <c r="J70" i="48"/>
  <c r="J69" i="48"/>
  <c r="J68" i="48"/>
  <c r="D86" i="45" s="1"/>
  <c r="E86" i="45" s="1"/>
  <c r="J67" i="48"/>
  <c r="D85" i="45" s="1"/>
  <c r="J66" i="48"/>
  <c r="J65" i="48"/>
  <c r="J64" i="48"/>
  <c r="J63" i="48"/>
  <c r="J62" i="48"/>
  <c r="J61" i="48"/>
  <c r="J60" i="48"/>
  <c r="J59" i="48"/>
  <c r="D77" i="45" s="1"/>
  <c r="E77" i="45" s="1"/>
  <c r="J58" i="48"/>
  <c r="J57" i="48"/>
  <c r="F55" i="48"/>
  <c r="E55" i="48"/>
  <c r="E146" i="48" s="1"/>
  <c r="E148" i="48" s="1"/>
  <c r="D55" i="48"/>
  <c r="D146" i="48" s="1"/>
  <c r="D148" i="48" s="1"/>
  <c r="J54" i="48"/>
  <c r="J53" i="48"/>
  <c r="I52" i="48"/>
  <c r="I55" i="48" s="1"/>
  <c r="I146" i="48" s="1"/>
  <c r="I148" i="48" s="1"/>
  <c r="H52" i="48"/>
  <c r="H55" i="48" s="1"/>
  <c r="H146" i="48" s="1"/>
  <c r="H148" i="48" s="1"/>
  <c r="G52" i="48"/>
  <c r="G55" i="48" s="1"/>
  <c r="G146" i="48" s="1"/>
  <c r="G148" i="48" s="1"/>
  <c r="F52" i="48"/>
  <c r="E52" i="48"/>
  <c r="D52" i="48"/>
  <c r="C52" i="48"/>
  <c r="C55" i="48" s="1"/>
  <c r="J51" i="48"/>
  <c r="J50" i="48"/>
  <c r="J49" i="48"/>
  <c r="J48" i="48"/>
  <c r="J47" i="48"/>
  <c r="J46" i="48"/>
  <c r="J45" i="48"/>
  <c r="J44" i="48"/>
  <c r="J43" i="48"/>
  <c r="J42" i="48"/>
  <c r="J41" i="48"/>
  <c r="D60" i="45" s="1"/>
  <c r="J40" i="48"/>
  <c r="J39" i="48"/>
  <c r="J38" i="48"/>
  <c r="J37" i="48"/>
  <c r="J36" i="48"/>
  <c r="J35" i="48"/>
  <c r="J34" i="48"/>
  <c r="J33" i="48"/>
  <c r="D52" i="45" s="1"/>
  <c r="J32" i="48"/>
  <c r="J31" i="48"/>
  <c r="J30" i="48"/>
  <c r="J29" i="48"/>
  <c r="J27" i="48"/>
  <c r="J26" i="48"/>
  <c r="J25" i="48"/>
  <c r="J24" i="48"/>
  <c r="J23" i="48"/>
  <c r="D42" i="45" s="1"/>
  <c r="J22" i="48"/>
  <c r="J21" i="48"/>
  <c r="J20" i="48"/>
  <c r="J18" i="48"/>
  <c r="J17" i="48"/>
  <c r="J16" i="48"/>
  <c r="J15" i="48"/>
  <c r="J14" i="48"/>
  <c r="D33" i="45" s="1"/>
  <c r="J13" i="48"/>
  <c r="J12" i="48"/>
  <c r="J11" i="48"/>
  <c r="J10" i="48"/>
  <c r="J9" i="48"/>
  <c r="J8" i="48"/>
  <c r="J7" i="48"/>
  <c r="J6" i="48"/>
  <c r="D25" i="45" s="1"/>
  <c r="J5" i="48"/>
  <c r="J4" i="48"/>
  <c r="J3" i="48"/>
  <c r="G81" i="47"/>
  <c r="C81" i="47"/>
  <c r="B150" i="48" s="1"/>
  <c r="H79" i="47"/>
  <c r="G79" i="47"/>
  <c r="F79" i="47"/>
  <c r="E79" i="47"/>
  <c r="D79" i="47"/>
  <c r="D74" i="47"/>
  <c r="H71" i="47"/>
  <c r="G71" i="47"/>
  <c r="F71" i="47"/>
  <c r="E71" i="47"/>
  <c r="D71" i="47"/>
  <c r="H67" i="47"/>
  <c r="G67" i="47"/>
  <c r="F67" i="47"/>
  <c r="D11" i="45" s="1"/>
  <c r="E67" i="47"/>
  <c r="D67" i="47"/>
  <c r="H57" i="47"/>
  <c r="G57" i="47"/>
  <c r="F57" i="47"/>
  <c r="E57" i="47"/>
  <c r="D57" i="47"/>
  <c r="H49" i="47"/>
  <c r="D7" i="45" s="1"/>
  <c r="G49" i="47"/>
  <c r="G74" i="47" s="1"/>
  <c r="F49" i="47"/>
  <c r="E49" i="47"/>
  <c r="D49" i="47"/>
  <c r="H33" i="47"/>
  <c r="G33" i="47"/>
  <c r="F33" i="47"/>
  <c r="F74" i="47" s="1"/>
  <c r="E33" i="47"/>
  <c r="E74" i="47" s="1"/>
  <c r="D33" i="47"/>
  <c r="U222" i="46"/>
  <c r="U221" i="46"/>
  <c r="U220" i="46"/>
  <c r="U219" i="46"/>
  <c r="U218" i="46"/>
  <c r="U217" i="46"/>
  <c r="C157" i="45" s="1"/>
  <c r="U216" i="46"/>
  <c r="C156" i="45" s="1"/>
  <c r="U215" i="46"/>
  <c r="U214" i="46"/>
  <c r="U213" i="46"/>
  <c r="U212" i="46"/>
  <c r="U211" i="46"/>
  <c r="U210" i="46"/>
  <c r="U209" i="46"/>
  <c r="C149" i="45" s="1"/>
  <c r="U208" i="46"/>
  <c r="U206" i="46"/>
  <c r="U205" i="46"/>
  <c r="U204" i="46"/>
  <c r="U203" i="46"/>
  <c r="U202" i="46"/>
  <c r="U201" i="46"/>
  <c r="U200" i="46"/>
  <c r="C140" i="45" s="1"/>
  <c r="U199" i="46"/>
  <c r="C139" i="45" s="1"/>
  <c r="U198" i="46"/>
  <c r="U197" i="46"/>
  <c r="U196" i="46"/>
  <c r="U195" i="46"/>
  <c r="U194" i="46"/>
  <c r="U193" i="46"/>
  <c r="U192" i="46"/>
  <c r="C133" i="45" s="1"/>
  <c r="U191" i="46"/>
  <c r="C132" i="45" s="1"/>
  <c r="U190" i="46"/>
  <c r="U189" i="46"/>
  <c r="U188" i="46"/>
  <c r="U187" i="46"/>
  <c r="U186" i="46"/>
  <c r="U185" i="46"/>
  <c r="U184" i="46"/>
  <c r="C125" i="45" s="1"/>
  <c r="U183" i="46"/>
  <c r="C124" i="45" s="1"/>
  <c r="U182" i="46"/>
  <c r="U181" i="46"/>
  <c r="U180" i="46"/>
  <c r="U179" i="46"/>
  <c r="U178" i="46"/>
  <c r="U177" i="46"/>
  <c r="U176" i="46"/>
  <c r="U175" i="46"/>
  <c r="C116" i="45" s="1"/>
  <c r="U174" i="46"/>
  <c r="U173" i="46"/>
  <c r="U172" i="46"/>
  <c r="U171" i="46"/>
  <c r="U170" i="46"/>
  <c r="U169" i="46"/>
  <c r="U168" i="46"/>
  <c r="C109" i="45" s="1"/>
  <c r="U167" i="46"/>
  <c r="U166" i="46"/>
  <c r="U165" i="46"/>
  <c r="U164" i="46"/>
  <c r="U163" i="46"/>
  <c r="U162" i="46"/>
  <c r="U161" i="46"/>
  <c r="U160" i="46"/>
  <c r="C101" i="45" s="1"/>
  <c r="U159" i="46"/>
  <c r="C100" i="45" s="1"/>
  <c r="U158" i="46"/>
  <c r="U157" i="46"/>
  <c r="U156" i="46"/>
  <c r="U155" i="46"/>
  <c r="U154" i="46"/>
  <c r="U153" i="46"/>
  <c r="U152" i="46"/>
  <c r="U151" i="46"/>
  <c r="C92" i="45" s="1"/>
  <c r="E92" i="45" s="1"/>
  <c r="U150" i="46"/>
  <c r="U149" i="46"/>
  <c r="U148" i="46"/>
  <c r="U147" i="46"/>
  <c r="U146" i="46"/>
  <c r="U145" i="46"/>
  <c r="U144" i="46"/>
  <c r="C85" i="45" s="1"/>
  <c r="U143" i="46"/>
  <c r="U142" i="46"/>
  <c r="U141" i="46"/>
  <c r="U140" i="46"/>
  <c r="U139" i="46"/>
  <c r="U138" i="46"/>
  <c r="U137" i="46"/>
  <c r="U136" i="46"/>
  <c r="C77" i="45" s="1"/>
  <c r="U135" i="46"/>
  <c r="C76" i="45" s="1"/>
  <c r="U134" i="46"/>
  <c r="U131" i="46"/>
  <c r="U130" i="46"/>
  <c r="U129" i="46"/>
  <c r="U128" i="46"/>
  <c r="U127" i="46"/>
  <c r="U126" i="46"/>
  <c r="C62" i="45" s="1"/>
  <c r="U125" i="46"/>
  <c r="C61" i="45" s="1"/>
  <c r="U124" i="46"/>
  <c r="U123" i="46"/>
  <c r="U122" i="46"/>
  <c r="U121" i="46"/>
  <c r="U120" i="46"/>
  <c r="U119" i="46"/>
  <c r="U118" i="46"/>
  <c r="C54" i="45" s="1"/>
  <c r="U117" i="46"/>
  <c r="C53" i="45" s="1"/>
  <c r="U116" i="46"/>
  <c r="U115" i="46"/>
  <c r="U114" i="46"/>
  <c r="U113" i="46"/>
  <c r="U112" i="46"/>
  <c r="U111" i="46"/>
  <c r="U110" i="46"/>
  <c r="C46" i="45" s="1"/>
  <c r="U109" i="46"/>
  <c r="C45" i="45" s="1"/>
  <c r="U108" i="46"/>
  <c r="U107" i="46"/>
  <c r="W106" i="46"/>
  <c r="U106" i="46"/>
  <c r="U105" i="46"/>
  <c r="U104" i="46"/>
  <c r="U103" i="46"/>
  <c r="C39" i="45" s="1"/>
  <c r="U100" i="46"/>
  <c r="U99" i="46"/>
  <c r="U98" i="46"/>
  <c r="U97" i="46"/>
  <c r="U96" i="46"/>
  <c r="U95" i="46"/>
  <c r="U94" i="46"/>
  <c r="U93" i="46"/>
  <c r="C30" i="45" s="1"/>
  <c r="U92" i="46"/>
  <c r="U91" i="46"/>
  <c r="U90" i="46"/>
  <c r="U89" i="46"/>
  <c r="U88" i="46"/>
  <c r="U87" i="46"/>
  <c r="U86" i="46"/>
  <c r="U85" i="46"/>
  <c r="C22" i="45" s="1"/>
  <c r="C21" i="45" s="1"/>
  <c r="T81" i="46"/>
  <c r="S81" i="46"/>
  <c r="R81" i="46"/>
  <c r="Q81" i="46"/>
  <c r="P81" i="46"/>
  <c r="O81" i="46"/>
  <c r="N81" i="46"/>
  <c r="M81" i="46"/>
  <c r="L81" i="46"/>
  <c r="K81" i="46"/>
  <c r="J81" i="46"/>
  <c r="I81" i="46"/>
  <c r="H81" i="46"/>
  <c r="G81" i="46"/>
  <c r="F81" i="46"/>
  <c r="E81" i="46"/>
  <c r="D81" i="46"/>
  <c r="U81" i="46" s="1"/>
  <c r="C81" i="46"/>
  <c r="T78" i="46"/>
  <c r="S78" i="46"/>
  <c r="R78" i="46"/>
  <c r="R80" i="46" s="1"/>
  <c r="R82" i="46" s="1"/>
  <c r="Q78" i="46"/>
  <c r="Q80" i="46" s="1"/>
  <c r="Q82" i="46" s="1"/>
  <c r="P78" i="46"/>
  <c r="P80" i="46" s="1"/>
  <c r="P82" i="46" s="1"/>
  <c r="O78" i="46"/>
  <c r="O80" i="46" s="1"/>
  <c r="O82" i="46" s="1"/>
  <c r="N78" i="46"/>
  <c r="M78" i="46"/>
  <c r="L78" i="46"/>
  <c r="K78" i="46"/>
  <c r="J78" i="46"/>
  <c r="J80" i="46" s="1"/>
  <c r="J82" i="46" s="1"/>
  <c r="I78" i="46"/>
  <c r="I80" i="46" s="1"/>
  <c r="I82" i="46" s="1"/>
  <c r="H78" i="46"/>
  <c r="H80" i="46" s="1"/>
  <c r="H82" i="46" s="1"/>
  <c r="G78" i="46"/>
  <c r="G80" i="46" s="1"/>
  <c r="G82" i="46" s="1"/>
  <c r="F78" i="46"/>
  <c r="E78" i="46"/>
  <c r="D78" i="46"/>
  <c r="C78" i="46"/>
  <c r="V76" i="46"/>
  <c r="U76" i="46"/>
  <c r="V75" i="46"/>
  <c r="U75" i="46"/>
  <c r="V74" i="46"/>
  <c r="U74" i="46"/>
  <c r="V73" i="46"/>
  <c r="U73" i="46"/>
  <c r="V72" i="46"/>
  <c r="U72" i="46"/>
  <c r="V71" i="46"/>
  <c r="U71" i="46"/>
  <c r="P69" i="46"/>
  <c r="O69" i="46"/>
  <c r="H69" i="46"/>
  <c r="G69" i="46"/>
  <c r="T67" i="46"/>
  <c r="S67" i="46"/>
  <c r="S69" i="46" s="1"/>
  <c r="R67" i="46"/>
  <c r="R69" i="46" s="1"/>
  <c r="Q67" i="46"/>
  <c r="Q69" i="46" s="1"/>
  <c r="P67" i="46"/>
  <c r="O67" i="46"/>
  <c r="N67" i="46"/>
  <c r="M67" i="46"/>
  <c r="M69" i="46" s="1"/>
  <c r="M80" i="46" s="1"/>
  <c r="M82" i="46" s="1"/>
  <c r="L67" i="46"/>
  <c r="K67" i="46"/>
  <c r="K69" i="46" s="1"/>
  <c r="J67" i="46"/>
  <c r="J69" i="46" s="1"/>
  <c r="I67" i="46"/>
  <c r="I69" i="46" s="1"/>
  <c r="H67" i="46"/>
  <c r="G67" i="46"/>
  <c r="F67" i="46"/>
  <c r="E67" i="46"/>
  <c r="E69" i="46" s="1"/>
  <c r="E80" i="46" s="1"/>
  <c r="E82" i="46" s="1"/>
  <c r="D67" i="46"/>
  <c r="C67" i="46"/>
  <c r="U67" i="46" s="1"/>
  <c r="C11" i="45" s="1"/>
  <c r="V65" i="46"/>
  <c r="U65" i="46"/>
  <c r="V64" i="46"/>
  <c r="U64" i="46"/>
  <c r="V63" i="46"/>
  <c r="U63" i="46"/>
  <c r="V62" i="46"/>
  <c r="U62" i="46"/>
  <c r="T60" i="46"/>
  <c r="T69" i="46" s="1"/>
  <c r="T80" i="46" s="1"/>
  <c r="T82" i="46" s="1"/>
  <c r="S60" i="46"/>
  <c r="R60" i="46"/>
  <c r="Q60" i="46"/>
  <c r="P60" i="46"/>
  <c r="O60" i="46"/>
  <c r="N60" i="46"/>
  <c r="N69" i="46" s="1"/>
  <c r="N80" i="46" s="1"/>
  <c r="N82" i="46" s="1"/>
  <c r="M60" i="46"/>
  <c r="L60" i="46"/>
  <c r="L69" i="46" s="1"/>
  <c r="L80" i="46" s="1"/>
  <c r="L82" i="46" s="1"/>
  <c r="K60" i="46"/>
  <c r="J60" i="46"/>
  <c r="I60" i="46"/>
  <c r="H60" i="46"/>
  <c r="G60" i="46"/>
  <c r="F60" i="46"/>
  <c r="F69" i="46" s="1"/>
  <c r="F80" i="46" s="1"/>
  <c r="F82" i="46" s="1"/>
  <c r="E60" i="46"/>
  <c r="U60" i="46" s="1"/>
  <c r="C9" i="45" s="1"/>
  <c r="D60" i="46"/>
  <c r="D69" i="46" s="1"/>
  <c r="D80" i="46" s="1"/>
  <c r="D82" i="46" s="1"/>
  <c r="C60" i="46"/>
  <c r="V58" i="46"/>
  <c r="U58" i="46"/>
  <c r="V57" i="46"/>
  <c r="U57" i="46"/>
  <c r="V56" i="46"/>
  <c r="U56" i="46"/>
  <c r="V55" i="46"/>
  <c r="U55" i="46"/>
  <c r="V54" i="46"/>
  <c r="U54" i="46"/>
  <c r="V53" i="46"/>
  <c r="U53" i="46"/>
  <c r="V52" i="46"/>
  <c r="U52" i="46"/>
  <c r="V51" i="46"/>
  <c r="U51" i="46"/>
  <c r="V50" i="46"/>
  <c r="U50" i="46"/>
  <c r="V49" i="46"/>
  <c r="U49" i="46"/>
  <c r="V48" i="46"/>
  <c r="U48" i="46"/>
  <c r="T46" i="46"/>
  <c r="S46" i="46"/>
  <c r="R46" i="46"/>
  <c r="Q46" i="46"/>
  <c r="P46" i="46"/>
  <c r="O46" i="46"/>
  <c r="N46" i="46"/>
  <c r="M46" i="46"/>
  <c r="L46" i="46"/>
  <c r="K46" i="46"/>
  <c r="J46" i="46"/>
  <c r="I46" i="46"/>
  <c r="H46" i="46"/>
  <c r="G46" i="46"/>
  <c r="F46" i="46"/>
  <c r="E46" i="46"/>
  <c r="U46" i="46" s="1"/>
  <c r="C7" i="45" s="1"/>
  <c r="D46" i="46"/>
  <c r="C46" i="46"/>
  <c r="V44" i="46"/>
  <c r="U44" i="46"/>
  <c r="V43" i="46"/>
  <c r="U43" i="46"/>
  <c r="V42" i="46"/>
  <c r="U42" i="46"/>
  <c r="V41" i="46"/>
  <c r="U41" i="46"/>
  <c r="V40" i="46"/>
  <c r="U40" i="46"/>
  <c r="V39" i="46"/>
  <c r="U39" i="46"/>
  <c r="V38" i="46"/>
  <c r="U38" i="46"/>
  <c r="V37" i="46"/>
  <c r="U37" i="46"/>
  <c r="V36" i="46"/>
  <c r="U36" i="46"/>
  <c r="V35" i="46"/>
  <c r="U35" i="46"/>
  <c r="T33" i="46"/>
  <c r="S33" i="46"/>
  <c r="R33" i="46"/>
  <c r="Q33" i="46"/>
  <c r="P33" i="46"/>
  <c r="O33" i="46"/>
  <c r="N33" i="46"/>
  <c r="M33" i="46"/>
  <c r="L33" i="46"/>
  <c r="K33" i="46"/>
  <c r="J33" i="46"/>
  <c r="I33" i="46"/>
  <c r="H33" i="46"/>
  <c r="G33" i="46"/>
  <c r="F33" i="46"/>
  <c r="D33" i="46"/>
  <c r="C33" i="46"/>
  <c r="V31" i="46"/>
  <c r="U31" i="46"/>
  <c r="V30" i="46"/>
  <c r="U30" i="46"/>
  <c r="V29" i="46"/>
  <c r="U29" i="46"/>
  <c r="V28" i="46"/>
  <c r="U28" i="46"/>
  <c r="V27" i="46"/>
  <c r="U27" i="46"/>
  <c r="U26" i="46"/>
  <c r="E26" i="46"/>
  <c r="E33" i="46" s="1"/>
  <c r="U33" i="46" s="1"/>
  <c r="V25" i="46"/>
  <c r="U25" i="46"/>
  <c r="E25" i="46"/>
  <c r="V24" i="46"/>
  <c r="U24" i="46"/>
  <c r="V23" i="46"/>
  <c r="U23" i="46"/>
  <c r="V22" i="46"/>
  <c r="U22" i="46"/>
  <c r="V21" i="46"/>
  <c r="U21" i="46"/>
  <c r="V20" i="46"/>
  <c r="U20" i="46"/>
  <c r="V19" i="46"/>
  <c r="U19" i="46"/>
  <c r="V18" i="46"/>
  <c r="U18" i="46"/>
  <c r="V17" i="46"/>
  <c r="U17" i="46"/>
  <c r="V16" i="46"/>
  <c r="U16" i="46"/>
  <c r="V15" i="46"/>
  <c r="U15" i="46"/>
  <c r="V14" i="46"/>
  <c r="U14" i="46"/>
  <c r="V13" i="46"/>
  <c r="U13" i="46"/>
  <c r="V12" i="46"/>
  <c r="U12" i="46"/>
  <c r="V11" i="46"/>
  <c r="W11" i="46" s="1"/>
  <c r="U11" i="46"/>
  <c r="W10" i="46"/>
  <c r="V10" i="46"/>
  <c r="U10" i="46"/>
  <c r="V9" i="46"/>
  <c r="W9" i="46" s="1"/>
  <c r="U9" i="46"/>
  <c r="V8" i="46"/>
  <c r="U8" i="46"/>
  <c r="W7" i="46"/>
  <c r="V7" i="46"/>
  <c r="U7" i="46"/>
  <c r="V6" i="46"/>
  <c r="W6" i="46" s="1"/>
  <c r="U6" i="46"/>
  <c r="V5" i="46"/>
  <c r="W5" i="46" s="1"/>
  <c r="U5" i="46"/>
  <c r="D163" i="45"/>
  <c r="C163" i="45"/>
  <c r="D162" i="45"/>
  <c r="C162" i="45"/>
  <c r="E162" i="45" s="1"/>
  <c r="E161" i="45"/>
  <c r="D161" i="45"/>
  <c r="C161" i="45"/>
  <c r="D160" i="45"/>
  <c r="E160" i="45" s="1"/>
  <c r="C160" i="45"/>
  <c r="D159" i="45"/>
  <c r="E159" i="45" s="1"/>
  <c r="C159" i="45"/>
  <c r="C158" i="45"/>
  <c r="D157" i="45"/>
  <c r="E157" i="45" s="1"/>
  <c r="D156" i="45"/>
  <c r="E156" i="45" s="1"/>
  <c r="D155" i="45"/>
  <c r="E155" i="45" s="1"/>
  <c r="C155" i="45"/>
  <c r="D154" i="45"/>
  <c r="C154" i="45"/>
  <c r="E154" i="45" s="1"/>
  <c r="E153" i="45"/>
  <c r="D153" i="45"/>
  <c r="C153" i="45"/>
  <c r="D152" i="45"/>
  <c r="E152" i="45" s="1"/>
  <c r="C152" i="45"/>
  <c r="C151" i="45"/>
  <c r="C150" i="45"/>
  <c r="D149" i="45"/>
  <c r="E149" i="45" s="1"/>
  <c r="D148" i="45"/>
  <c r="E148" i="45" s="1"/>
  <c r="C148" i="45"/>
  <c r="E147" i="45"/>
  <c r="D147" i="45"/>
  <c r="D146" i="45"/>
  <c r="E146" i="45" s="1"/>
  <c r="C146" i="45"/>
  <c r="D145" i="45"/>
  <c r="E145" i="45" s="1"/>
  <c r="C145" i="45"/>
  <c r="D144" i="45"/>
  <c r="C144" i="45"/>
  <c r="D143" i="45"/>
  <c r="E143" i="45" s="1"/>
  <c r="C143" i="45"/>
  <c r="D142" i="45"/>
  <c r="E142" i="45" s="1"/>
  <c r="C142" i="45"/>
  <c r="C141" i="45"/>
  <c r="D140" i="45"/>
  <c r="E140" i="45" s="1"/>
  <c r="D139" i="45"/>
  <c r="E139" i="45" s="1"/>
  <c r="D138" i="45"/>
  <c r="C138" i="45"/>
  <c r="D137" i="45"/>
  <c r="E137" i="45" s="1"/>
  <c r="C137" i="45"/>
  <c r="D136" i="45"/>
  <c r="C136" i="45"/>
  <c r="E135" i="45"/>
  <c r="D135" i="45"/>
  <c r="C135" i="45"/>
  <c r="D134" i="45"/>
  <c r="E134" i="45" s="1"/>
  <c r="C134" i="45"/>
  <c r="D133" i="45"/>
  <c r="E133" i="45" s="1"/>
  <c r="D132" i="45"/>
  <c r="E132" i="45" s="1"/>
  <c r="D131" i="45"/>
  <c r="C131" i="45"/>
  <c r="E131" i="45" s="1"/>
  <c r="E130" i="45"/>
  <c r="D130" i="45"/>
  <c r="C130" i="45"/>
  <c r="D129" i="45"/>
  <c r="E129" i="45" s="1"/>
  <c r="C129" i="45"/>
  <c r="D128" i="45"/>
  <c r="E128" i="45" s="1"/>
  <c r="C128" i="45"/>
  <c r="E127" i="45"/>
  <c r="D127" i="45"/>
  <c r="C127" i="45"/>
  <c r="D126" i="45"/>
  <c r="E126" i="45" s="1"/>
  <c r="C126" i="45"/>
  <c r="D125" i="45"/>
  <c r="E125" i="45" s="1"/>
  <c r="D124" i="45"/>
  <c r="E124" i="45" s="1"/>
  <c r="D123" i="45"/>
  <c r="C123" i="45"/>
  <c r="E123" i="45" s="1"/>
  <c r="E122" i="45"/>
  <c r="D122" i="45"/>
  <c r="C122" i="45"/>
  <c r="D121" i="45"/>
  <c r="E121" i="45" s="1"/>
  <c r="C121" i="45"/>
  <c r="D120" i="45"/>
  <c r="E120" i="45" s="1"/>
  <c r="C120" i="45"/>
  <c r="E119" i="45"/>
  <c r="D119" i="45"/>
  <c r="C119" i="45"/>
  <c r="C118" i="45"/>
  <c r="C117" i="45"/>
  <c r="D116" i="45"/>
  <c r="D115" i="45"/>
  <c r="E115" i="45" s="1"/>
  <c r="C115" i="45"/>
  <c r="D114" i="45"/>
  <c r="E114" i="45" s="1"/>
  <c r="C114" i="45"/>
  <c r="E113" i="45"/>
  <c r="D113" i="45"/>
  <c r="C113" i="45"/>
  <c r="D112" i="45"/>
  <c r="E112" i="45" s="1"/>
  <c r="C112" i="45"/>
  <c r="D111" i="45"/>
  <c r="E111" i="45" s="1"/>
  <c r="C111" i="45"/>
  <c r="C110" i="45"/>
  <c r="D108" i="45"/>
  <c r="C108" i="45"/>
  <c r="E107" i="45"/>
  <c r="D107" i="45"/>
  <c r="C107" i="45"/>
  <c r="D106" i="45"/>
  <c r="C106" i="45"/>
  <c r="D105" i="45"/>
  <c r="E105" i="45" s="1"/>
  <c r="C105" i="45"/>
  <c r="D104" i="45"/>
  <c r="C104" i="45"/>
  <c r="D103" i="45"/>
  <c r="C103" i="45"/>
  <c r="C102" i="45"/>
  <c r="D101" i="45"/>
  <c r="D100" i="45"/>
  <c r="D99" i="45"/>
  <c r="E99" i="45" s="1"/>
  <c r="C99" i="45"/>
  <c r="D98" i="45"/>
  <c r="E98" i="45" s="1"/>
  <c r="C98" i="45"/>
  <c r="D97" i="45"/>
  <c r="E97" i="45" s="1"/>
  <c r="C97" i="45"/>
  <c r="D96" i="45"/>
  <c r="C96" i="45"/>
  <c r="E96" i="45" s="1"/>
  <c r="E95" i="45"/>
  <c r="D95" i="45"/>
  <c r="C95" i="45"/>
  <c r="C94" i="45"/>
  <c r="C93" i="45"/>
  <c r="D92" i="45"/>
  <c r="D91" i="45"/>
  <c r="E91" i="45" s="1"/>
  <c r="C91" i="45"/>
  <c r="D90" i="45"/>
  <c r="E90" i="45" s="1"/>
  <c r="C90" i="45"/>
  <c r="D89" i="45"/>
  <c r="E89" i="45" s="1"/>
  <c r="C89" i="45"/>
  <c r="D88" i="45"/>
  <c r="C88" i="45"/>
  <c r="D87" i="45"/>
  <c r="E87" i="45" s="1"/>
  <c r="C87" i="45"/>
  <c r="C86" i="45"/>
  <c r="D84" i="45"/>
  <c r="C84" i="45"/>
  <c r="E83" i="45"/>
  <c r="D83" i="45"/>
  <c r="C83" i="45"/>
  <c r="D82" i="45"/>
  <c r="C82" i="45"/>
  <c r="D81" i="45"/>
  <c r="C81" i="45"/>
  <c r="E80" i="45"/>
  <c r="D80" i="45"/>
  <c r="C80" i="45"/>
  <c r="D79" i="45"/>
  <c r="E79" i="45" s="1"/>
  <c r="C79" i="45"/>
  <c r="D78" i="45"/>
  <c r="E78" i="45" s="1"/>
  <c r="C78" i="45"/>
  <c r="D76" i="45"/>
  <c r="D75" i="45"/>
  <c r="D74" i="45" s="1"/>
  <c r="C75" i="45"/>
  <c r="C74" i="45" s="1"/>
  <c r="D72" i="45"/>
  <c r="B72" i="45"/>
  <c r="D70" i="45"/>
  <c r="D69" i="45"/>
  <c r="D68" i="45"/>
  <c r="D67" i="45"/>
  <c r="C67" i="45"/>
  <c r="D66" i="45"/>
  <c r="C66" i="45"/>
  <c r="D65" i="45"/>
  <c r="C65" i="45"/>
  <c r="D64" i="45"/>
  <c r="C64" i="45"/>
  <c r="D63" i="45"/>
  <c r="C63" i="45"/>
  <c r="D62" i="45"/>
  <c r="D61" i="45"/>
  <c r="C60" i="45"/>
  <c r="D59" i="45"/>
  <c r="C59" i="45"/>
  <c r="D58" i="45"/>
  <c r="C58" i="45"/>
  <c r="D57" i="45"/>
  <c r="C57" i="45"/>
  <c r="D56" i="45"/>
  <c r="C56" i="45"/>
  <c r="D55" i="45"/>
  <c r="C55" i="45"/>
  <c r="D54" i="45"/>
  <c r="D53" i="45"/>
  <c r="C52" i="45"/>
  <c r="D51" i="45"/>
  <c r="C51" i="45"/>
  <c r="D50" i="45"/>
  <c r="C50" i="45"/>
  <c r="D49" i="45"/>
  <c r="C49" i="45"/>
  <c r="D48" i="45"/>
  <c r="C48" i="45"/>
  <c r="D47" i="45"/>
  <c r="C47" i="45"/>
  <c r="D46" i="45"/>
  <c r="D45" i="45"/>
  <c r="D44" i="45"/>
  <c r="C44" i="45"/>
  <c r="D43" i="45"/>
  <c r="C43" i="45"/>
  <c r="C42" i="45"/>
  <c r="D41" i="45"/>
  <c r="C41" i="45"/>
  <c r="D40" i="45"/>
  <c r="C40" i="45"/>
  <c r="D39" i="45"/>
  <c r="D36" i="45"/>
  <c r="C36" i="45"/>
  <c r="D35" i="45"/>
  <c r="C35" i="45"/>
  <c r="D34" i="45"/>
  <c r="C34" i="45"/>
  <c r="C33" i="45"/>
  <c r="D32" i="45"/>
  <c r="C32" i="45"/>
  <c r="D31" i="45"/>
  <c r="C31" i="45"/>
  <c r="D30" i="45"/>
  <c r="D29" i="45"/>
  <c r="C29" i="45"/>
  <c r="D28" i="45"/>
  <c r="C28" i="45"/>
  <c r="D27" i="45"/>
  <c r="C27" i="45"/>
  <c r="D26" i="45"/>
  <c r="C26" i="45"/>
  <c r="C25" i="45"/>
  <c r="D24" i="45"/>
  <c r="C24" i="45"/>
  <c r="D23" i="45"/>
  <c r="C23" i="45"/>
  <c r="D22" i="45"/>
  <c r="D15" i="45"/>
  <c r="D9" i="45"/>
  <c r="E9" i="45" s="1"/>
  <c r="K80" i="46" l="1"/>
  <c r="K82" i="46" s="1"/>
  <c r="C146" i="48"/>
  <c r="J55" i="48"/>
  <c r="E15" i="45"/>
  <c r="W4" i="46"/>
  <c r="W33" i="46"/>
  <c r="S80" i="46"/>
  <c r="S82" i="46" s="1"/>
  <c r="U69" i="46"/>
  <c r="C5" i="45"/>
  <c r="C13" i="45" s="1"/>
  <c r="E7" i="45"/>
  <c r="E11" i="45"/>
  <c r="D21" i="45"/>
  <c r="D18" i="45" s="1"/>
  <c r="C38" i="45"/>
  <c r="C18" i="45" s="1"/>
  <c r="H80" i="47"/>
  <c r="D38" i="45"/>
  <c r="D5" i="45"/>
  <c r="E75" i="45"/>
  <c r="V26" i="46"/>
  <c r="J52" i="48"/>
  <c r="F36" i="45"/>
  <c r="C69" i="46"/>
  <c r="C80" i="46" s="1"/>
  <c r="H74" i="47"/>
  <c r="U78" i="46"/>
  <c r="C15" i="45" s="1"/>
  <c r="U80" i="46" l="1"/>
  <c r="C82" i="46"/>
  <c r="W107" i="46"/>
  <c r="D13" i="45"/>
  <c r="E5" i="45"/>
  <c r="C148" i="48"/>
  <c r="J148" i="48" s="1"/>
  <c r="J146" i="48"/>
  <c r="C17" i="45"/>
  <c r="C19" i="45" s="1"/>
  <c r="E18" i="45"/>
  <c r="E13" i="45" l="1"/>
  <c r="D17" i="45"/>
  <c r="U82" i="46"/>
  <c r="V80" i="46"/>
  <c r="E17" i="45" l="1"/>
  <c r="D19" i="45"/>
  <c r="E19" i="45" s="1"/>
  <c r="J152" i="43" l="1"/>
  <c r="B149" i="43"/>
  <c r="J146" i="43"/>
  <c r="I144" i="43"/>
  <c r="H144" i="43"/>
  <c r="G144" i="43"/>
  <c r="F144" i="43"/>
  <c r="F145" i="43" s="1"/>
  <c r="F147" i="43" s="1"/>
  <c r="E144" i="43"/>
  <c r="D144" i="43"/>
  <c r="C144" i="43"/>
  <c r="J144" i="43" s="1"/>
  <c r="J143" i="43"/>
  <c r="J142" i="43"/>
  <c r="J141" i="43"/>
  <c r="J140" i="43"/>
  <c r="J139" i="43"/>
  <c r="D156" i="40" s="1"/>
  <c r="J138" i="43"/>
  <c r="D155" i="40" s="1"/>
  <c r="J137" i="43"/>
  <c r="J136" i="43"/>
  <c r="J135" i="43"/>
  <c r="J134" i="43"/>
  <c r="J133" i="43"/>
  <c r="J132" i="43"/>
  <c r="J131" i="43"/>
  <c r="D148" i="40" s="1"/>
  <c r="J130" i="43"/>
  <c r="D147" i="40" s="1"/>
  <c r="J129" i="43"/>
  <c r="J127" i="43"/>
  <c r="J126" i="43"/>
  <c r="J125" i="43"/>
  <c r="J124" i="43"/>
  <c r="J123" i="43"/>
  <c r="J122" i="43"/>
  <c r="D139" i="40" s="1"/>
  <c r="J121" i="43"/>
  <c r="J120" i="43"/>
  <c r="J119" i="43"/>
  <c r="J118" i="43"/>
  <c r="J117" i="43"/>
  <c r="J116" i="43"/>
  <c r="J115" i="43"/>
  <c r="J114" i="43"/>
  <c r="D131" i="40" s="1"/>
  <c r="J113" i="43"/>
  <c r="J112" i="43"/>
  <c r="J111" i="43"/>
  <c r="J110" i="43"/>
  <c r="J109" i="43"/>
  <c r="J108" i="43"/>
  <c r="J107" i="43"/>
  <c r="J106" i="43"/>
  <c r="D123" i="40" s="1"/>
  <c r="J105" i="43"/>
  <c r="J104" i="43"/>
  <c r="J103" i="43"/>
  <c r="J102" i="43"/>
  <c r="J101" i="43"/>
  <c r="J100" i="43"/>
  <c r="J99" i="43"/>
  <c r="J98" i="43"/>
  <c r="D115" i="40" s="1"/>
  <c r="J97" i="43"/>
  <c r="J96" i="43"/>
  <c r="J95" i="43"/>
  <c r="J94" i="43"/>
  <c r="J93" i="43"/>
  <c r="J92" i="43"/>
  <c r="J91" i="43"/>
  <c r="J90" i="43"/>
  <c r="D107" i="40" s="1"/>
  <c r="J89" i="43"/>
  <c r="J88" i="43"/>
  <c r="J87" i="43"/>
  <c r="J86" i="43"/>
  <c r="J85" i="43"/>
  <c r="J84" i="43"/>
  <c r="J83" i="43"/>
  <c r="J82" i="43"/>
  <c r="D99" i="40" s="1"/>
  <c r="J81" i="43"/>
  <c r="J80" i="43"/>
  <c r="J79" i="43"/>
  <c r="J78" i="43"/>
  <c r="J77" i="43"/>
  <c r="J76" i="43"/>
  <c r="J75" i="43"/>
  <c r="J74" i="43"/>
  <c r="D91" i="40" s="1"/>
  <c r="J73" i="43"/>
  <c r="J72" i="43"/>
  <c r="J71" i="43"/>
  <c r="J70" i="43"/>
  <c r="J69" i="43"/>
  <c r="J68" i="43"/>
  <c r="J67" i="43"/>
  <c r="J66" i="43"/>
  <c r="D83" i="40" s="1"/>
  <c r="J65" i="43"/>
  <c r="J64" i="43"/>
  <c r="J63" i="43"/>
  <c r="J62" i="43"/>
  <c r="J61" i="43"/>
  <c r="J60" i="43"/>
  <c r="J59" i="43"/>
  <c r="J58" i="43"/>
  <c r="D75" i="40" s="1"/>
  <c r="J57" i="43"/>
  <c r="J56" i="43"/>
  <c r="F54" i="43"/>
  <c r="E54" i="43"/>
  <c r="E145" i="43" s="1"/>
  <c r="E147" i="43" s="1"/>
  <c r="D54" i="43"/>
  <c r="D145" i="43" s="1"/>
  <c r="D147" i="43" s="1"/>
  <c r="C54" i="43"/>
  <c r="C145" i="43" s="1"/>
  <c r="J53" i="43"/>
  <c r="J52" i="43"/>
  <c r="I51" i="43"/>
  <c r="I54" i="43" s="1"/>
  <c r="I145" i="43" s="1"/>
  <c r="I147" i="43" s="1"/>
  <c r="H51" i="43"/>
  <c r="H54" i="43" s="1"/>
  <c r="H145" i="43" s="1"/>
  <c r="H147" i="43" s="1"/>
  <c r="G51" i="43"/>
  <c r="G54" i="43" s="1"/>
  <c r="G145" i="43" s="1"/>
  <c r="G147" i="43" s="1"/>
  <c r="F51" i="43"/>
  <c r="E51" i="43"/>
  <c r="D51" i="43"/>
  <c r="J51" i="43" s="1"/>
  <c r="C51" i="43"/>
  <c r="J50" i="43"/>
  <c r="J49" i="43"/>
  <c r="J48" i="43"/>
  <c r="D66" i="40" s="1"/>
  <c r="J47" i="43"/>
  <c r="D65" i="40" s="1"/>
  <c r="J46" i="43"/>
  <c r="J45" i="43"/>
  <c r="J44" i="43"/>
  <c r="J43" i="43"/>
  <c r="J42" i="43"/>
  <c r="J41" i="43"/>
  <c r="J40" i="43"/>
  <c r="J39" i="43"/>
  <c r="D57" i="40" s="1"/>
  <c r="J38" i="43"/>
  <c r="J37" i="43"/>
  <c r="J36" i="43"/>
  <c r="J35" i="43"/>
  <c r="J34" i="43"/>
  <c r="J33" i="43"/>
  <c r="J32" i="43"/>
  <c r="J31" i="43"/>
  <c r="D49" i="40" s="1"/>
  <c r="J30" i="43"/>
  <c r="J29" i="43"/>
  <c r="J28" i="43"/>
  <c r="J27" i="43"/>
  <c r="J26" i="43"/>
  <c r="J25" i="43"/>
  <c r="J24" i="43"/>
  <c r="J23" i="43"/>
  <c r="D41" i="40" s="1"/>
  <c r="J22" i="43"/>
  <c r="J21" i="43"/>
  <c r="J20" i="43"/>
  <c r="J18" i="43"/>
  <c r="J17" i="43"/>
  <c r="J16" i="43"/>
  <c r="J15" i="43"/>
  <c r="D34" i="40" s="1"/>
  <c r="J14" i="43"/>
  <c r="D33" i="40" s="1"/>
  <c r="J13" i="43"/>
  <c r="J12" i="43"/>
  <c r="J11" i="43"/>
  <c r="J10" i="43"/>
  <c r="J9" i="43"/>
  <c r="J8" i="43"/>
  <c r="J7" i="43"/>
  <c r="D26" i="40" s="1"/>
  <c r="J6" i="43"/>
  <c r="D25" i="40" s="1"/>
  <c r="J5" i="43"/>
  <c r="J4" i="43"/>
  <c r="J3" i="43"/>
  <c r="G82" i="42"/>
  <c r="C81" i="42"/>
  <c r="H79" i="42"/>
  <c r="G79" i="42"/>
  <c r="F79" i="42"/>
  <c r="E79" i="42"/>
  <c r="D79" i="42"/>
  <c r="H71" i="42"/>
  <c r="D15" i="40" s="1"/>
  <c r="G71" i="42"/>
  <c r="F71" i="42"/>
  <c r="E71" i="42"/>
  <c r="D71" i="42"/>
  <c r="H67" i="42"/>
  <c r="G67" i="42"/>
  <c r="F67" i="42"/>
  <c r="E67" i="42"/>
  <c r="D67" i="42"/>
  <c r="H57" i="42"/>
  <c r="G57" i="42"/>
  <c r="F57" i="42"/>
  <c r="E57" i="42"/>
  <c r="D57" i="42"/>
  <c r="H49" i="42"/>
  <c r="G49" i="42"/>
  <c r="G74" i="42" s="1"/>
  <c r="F49" i="42"/>
  <c r="F74" i="42" s="1"/>
  <c r="E49" i="42"/>
  <c r="D49" i="42"/>
  <c r="H33" i="42"/>
  <c r="H74" i="42" s="1"/>
  <c r="G33" i="42"/>
  <c r="F33" i="42"/>
  <c r="E33" i="42"/>
  <c r="E74" i="42" s="1"/>
  <c r="D33" i="42"/>
  <c r="D74" i="42" s="1"/>
  <c r="Q213" i="41"/>
  <c r="Q212" i="41"/>
  <c r="Q211" i="41"/>
  <c r="Q210" i="41"/>
  <c r="Q209" i="41"/>
  <c r="Q208" i="41"/>
  <c r="Q207" i="41"/>
  <c r="C155" i="40" s="1"/>
  <c r="Q206" i="41"/>
  <c r="C154" i="40" s="1"/>
  <c r="Q205" i="41"/>
  <c r="Q204" i="41"/>
  <c r="Q203" i="41"/>
  <c r="Q202" i="41"/>
  <c r="Q201" i="41"/>
  <c r="Q200" i="41"/>
  <c r="Q199" i="41"/>
  <c r="C147" i="40" s="1"/>
  <c r="Q198" i="41"/>
  <c r="C146" i="40" s="1"/>
  <c r="Q197" i="41"/>
  <c r="Q196" i="41"/>
  <c r="Q195" i="41"/>
  <c r="Q194" i="41"/>
  <c r="Q193" i="41"/>
  <c r="Q192" i="41"/>
  <c r="Q191" i="41"/>
  <c r="C139" i="40" s="1"/>
  <c r="Q190" i="41"/>
  <c r="C138" i="40" s="1"/>
  <c r="Q189" i="41"/>
  <c r="Q188" i="41"/>
  <c r="Q187" i="41"/>
  <c r="Q186" i="41"/>
  <c r="Q185" i="41"/>
  <c r="Q184" i="41"/>
  <c r="Q183" i="41"/>
  <c r="Q182" i="41"/>
  <c r="C131" i="40" s="1"/>
  <c r="Q181" i="41"/>
  <c r="Q180" i="41"/>
  <c r="Q179" i="41"/>
  <c r="Q178" i="41"/>
  <c r="Q177" i="41"/>
  <c r="Q176" i="41"/>
  <c r="Q175" i="41"/>
  <c r="Q174" i="41"/>
  <c r="C123" i="40" s="1"/>
  <c r="Q173" i="41"/>
  <c r="Q172" i="41"/>
  <c r="Q171" i="41"/>
  <c r="Q170" i="41"/>
  <c r="Q169" i="41"/>
  <c r="Q168" i="41"/>
  <c r="Q167" i="41"/>
  <c r="Q166" i="41"/>
  <c r="C115" i="40" s="1"/>
  <c r="Q165" i="41"/>
  <c r="Q164" i="41"/>
  <c r="Q163" i="41"/>
  <c r="Q162" i="41"/>
  <c r="Q161" i="41"/>
  <c r="Q160" i="41"/>
  <c r="Q159" i="41"/>
  <c r="Q158" i="41"/>
  <c r="C107" i="40" s="1"/>
  <c r="Q157" i="41"/>
  <c r="Q156" i="41"/>
  <c r="Q155" i="41"/>
  <c r="Q154" i="41"/>
  <c r="Q153" i="41"/>
  <c r="Q152" i="41"/>
  <c r="Q151" i="41"/>
  <c r="Q150" i="41"/>
  <c r="C99" i="40" s="1"/>
  <c r="Q149" i="41"/>
  <c r="Q148" i="41"/>
  <c r="Q147" i="41"/>
  <c r="Q146" i="41"/>
  <c r="Q145" i="41"/>
  <c r="Q144" i="41"/>
  <c r="Q143" i="41"/>
  <c r="Q142" i="41"/>
  <c r="C91" i="40" s="1"/>
  <c r="Q141" i="41"/>
  <c r="Q140" i="41"/>
  <c r="Q139" i="41"/>
  <c r="Q138" i="41"/>
  <c r="Q137" i="41"/>
  <c r="Q136" i="41"/>
  <c r="Q135" i="41"/>
  <c r="Q134" i="41"/>
  <c r="C83" i="40" s="1"/>
  <c r="Q133" i="41"/>
  <c r="Q132" i="41"/>
  <c r="Q131" i="41"/>
  <c r="Q130" i="41"/>
  <c r="Q129" i="41"/>
  <c r="Q128" i="41"/>
  <c r="Q127" i="41"/>
  <c r="Q126" i="41"/>
  <c r="C75" i="40" s="1"/>
  <c r="C72" i="40" s="1"/>
  <c r="Q125" i="41"/>
  <c r="Q124" i="41"/>
  <c r="Q121" i="41"/>
  <c r="Q120" i="41"/>
  <c r="Q119" i="41"/>
  <c r="Q118" i="41"/>
  <c r="Q117" i="41"/>
  <c r="Q116" i="41"/>
  <c r="C60" i="40" s="1"/>
  <c r="Q115" i="41"/>
  <c r="Q114" i="41"/>
  <c r="Q113" i="41"/>
  <c r="Q112" i="41"/>
  <c r="Q111" i="41"/>
  <c r="Q110" i="41"/>
  <c r="Q109" i="41"/>
  <c r="Q108" i="41"/>
  <c r="C52" i="40" s="1"/>
  <c r="Q107" i="41"/>
  <c r="Q106" i="41"/>
  <c r="Q105" i="41"/>
  <c r="Q104" i="41"/>
  <c r="Q103" i="41"/>
  <c r="Q102" i="41"/>
  <c r="Q101" i="41"/>
  <c r="Q100" i="41"/>
  <c r="C44" i="40" s="1"/>
  <c r="Q99" i="41"/>
  <c r="Q98" i="41"/>
  <c r="Q97" i="41"/>
  <c r="Q96" i="41"/>
  <c r="Q95" i="41"/>
  <c r="Q94" i="41"/>
  <c r="Q93" i="41"/>
  <c r="Q92" i="41"/>
  <c r="Q91" i="41"/>
  <c r="Q90" i="41"/>
  <c r="Q89" i="41"/>
  <c r="Q88" i="41"/>
  <c r="Q87" i="41"/>
  <c r="Q86" i="41"/>
  <c r="Q85" i="41"/>
  <c r="C30" i="40" s="1"/>
  <c r="Q84" i="41"/>
  <c r="C29" i="40" s="1"/>
  <c r="Q83" i="41"/>
  <c r="Q82" i="41"/>
  <c r="Q81" i="41"/>
  <c r="Q80" i="41"/>
  <c r="Q79" i="41"/>
  <c r="Q78" i="41"/>
  <c r="Q77" i="41"/>
  <c r="C22" i="40" s="1"/>
  <c r="P73" i="41"/>
  <c r="O73" i="41"/>
  <c r="N73" i="41"/>
  <c r="M73" i="41"/>
  <c r="L73" i="41"/>
  <c r="K73" i="41"/>
  <c r="J73" i="41"/>
  <c r="I73" i="41"/>
  <c r="H73" i="41"/>
  <c r="Q73" i="41" s="1"/>
  <c r="G73" i="41"/>
  <c r="F73" i="41"/>
  <c r="E73" i="41"/>
  <c r="D73" i="41"/>
  <c r="C73" i="41"/>
  <c r="P70" i="41"/>
  <c r="O70" i="41"/>
  <c r="N70" i="41"/>
  <c r="M70" i="41"/>
  <c r="L70" i="41"/>
  <c r="K70" i="41"/>
  <c r="K72" i="41" s="1"/>
  <c r="K74" i="41" s="1"/>
  <c r="J70" i="41"/>
  <c r="I70" i="41"/>
  <c r="H70" i="41"/>
  <c r="G70" i="41"/>
  <c r="F70" i="41"/>
  <c r="E70" i="41"/>
  <c r="D70" i="41"/>
  <c r="C70" i="41"/>
  <c r="C72" i="41" s="1"/>
  <c r="R68" i="41"/>
  <c r="Q68" i="41"/>
  <c r="R67" i="41"/>
  <c r="Q67" i="41"/>
  <c r="R66" i="41"/>
  <c r="Q66" i="41"/>
  <c r="R65" i="41"/>
  <c r="Q65" i="41"/>
  <c r="R64" i="41"/>
  <c r="Q64" i="41"/>
  <c r="P62" i="41"/>
  <c r="P72" i="41" s="1"/>
  <c r="P74" i="41" s="1"/>
  <c r="H62" i="41"/>
  <c r="H72" i="41" s="1"/>
  <c r="H74" i="41" s="1"/>
  <c r="P60" i="41"/>
  <c r="O60" i="41"/>
  <c r="O62" i="41" s="1"/>
  <c r="N60" i="41"/>
  <c r="N62" i="41" s="1"/>
  <c r="M60" i="41"/>
  <c r="M62" i="41" s="1"/>
  <c r="L60" i="41"/>
  <c r="K60" i="41"/>
  <c r="K62" i="41" s="1"/>
  <c r="J60" i="41"/>
  <c r="J62" i="41" s="1"/>
  <c r="I60" i="41"/>
  <c r="H60" i="41"/>
  <c r="G60" i="41"/>
  <c r="G62" i="41" s="1"/>
  <c r="F60" i="41"/>
  <c r="F62" i="41" s="1"/>
  <c r="E60" i="41"/>
  <c r="E62" i="41" s="1"/>
  <c r="D60" i="41"/>
  <c r="C60" i="41"/>
  <c r="C62" i="41" s="1"/>
  <c r="R58" i="41"/>
  <c r="Q58" i="41"/>
  <c r="R57" i="41"/>
  <c r="Q57" i="41"/>
  <c r="R56" i="41"/>
  <c r="Q56" i="41"/>
  <c r="R55" i="41"/>
  <c r="Q55" i="41"/>
  <c r="P53" i="41"/>
  <c r="O53" i="41"/>
  <c r="N53" i="41"/>
  <c r="M53" i="41"/>
  <c r="L53" i="41"/>
  <c r="L62" i="41" s="1"/>
  <c r="L72" i="41" s="1"/>
  <c r="L74" i="41" s="1"/>
  <c r="K53" i="41"/>
  <c r="J53" i="41"/>
  <c r="I53" i="41"/>
  <c r="H53" i="41"/>
  <c r="G53" i="41"/>
  <c r="F53" i="41"/>
  <c r="E53" i="41"/>
  <c r="D53" i="41"/>
  <c r="D62" i="41" s="1"/>
  <c r="D72" i="41" s="1"/>
  <c r="D74" i="41" s="1"/>
  <c r="C53" i="41"/>
  <c r="R51" i="41"/>
  <c r="Q51" i="41"/>
  <c r="R50" i="41"/>
  <c r="Q50" i="41"/>
  <c r="R49" i="41"/>
  <c r="Q49" i="41"/>
  <c r="R48" i="41"/>
  <c r="Q48" i="41"/>
  <c r="F48" i="41"/>
  <c r="Q47" i="41"/>
  <c r="F47" i="41"/>
  <c r="R47" i="41" s="1"/>
  <c r="R46" i="41"/>
  <c r="Q46" i="41"/>
  <c r="R45" i="41"/>
  <c r="Q45" i="41"/>
  <c r="R44" i="41"/>
  <c r="Q44" i="41"/>
  <c r="P42" i="41"/>
  <c r="O42" i="41"/>
  <c r="N42" i="41"/>
  <c r="M42" i="41"/>
  <c r="L42" i="41"/>
  <c r="K42" i="41"/>
  <c r="J42" i="41"/>
  <c r="I42" i="41"/>
  <c r="H42" i="41"/>
  <c r="G42" i="41"/>
  <c r="F42" i="41"/>
  <c r="E42" i="41"/>
  <c r="D42" i="41"/>
  <c r="C42" i="41"/>
  <c r="Q42" i="41" s="1"/>
  <c r="C7" i="40" s="1"/>
  <c r="R40" i="41"/>
  <c r="Q40" i="41"/>
  <c r="R39" i="41"/>
  <c r="Q39" i="41"/>
  <c r="R38" i="41"/>
  <c r="Q38" i="41"/>
  <c r="R37" i="41"/>
  <c r="Q37" i="41"/>
  <c r="R36" i="41"/>
  <c r="Q36" i="41"/>
  <c r="R35" i="41"/>
  <c r="Q35" i="41"/>
  <c r="R34" i="41"/>
  <c r="Q34" i="41"/>
  <c r="R33" i="41"/>
  <c r="Q33" i="41"/>
  <c r="R32" i="41"/>
  <c r="Q32" i="41"/>
  <c r="R31" i="41"/>
  <c r="Q31" i="41"/>
  <c r="P29" i="41"/>
  <c r="O29" i="41"/>
  <c r="N29" i="41"/>
  <c r="M29" i="41"/>
  <c r="L29" i="41"/>
  <c r="K29" i="41"/>
  <c r="J29" i="41"/>
  <c r="H29" i="41"/>
  <c r="G29" i="41"/>
  <c r="F29" i="41"/>
  <c r="E29" i="41"/>
  <c r="D29" i="41"/>
  <c r="C29" i="41"/>
  <c r="Q29" i="41" s="1"/>
  <c r="R27" i="41"/>
  <c r="Q27" i="41"/>
  <c r="R26" i="41"/>
  <c r="Q26" i="41"/>
  <c r="R25" i="41"/>
  <c r="Q25" i="41"/>
  <c r="R24" i="41"/>
  <c r="Q24" i="41"/>
  <c r="R23" i="41"/>
  <c r="Q23" i="41"/>
  <c r="R22" i="41"/>
  <c r="Q22" i="41"/>
  <c r="Q21" i="41"/>
  <c r="I21" i="41"/>
  <c r="I29" i="41" s="1"/>
  <c r="I62" i="41" s="1"/>
  <c r="I72" i="41" s="1"/>
  <c r="I74" i="41" s="1"/>
  <c r="R20" i="41"/>
  <c r="Q20" i="41"/>
  <c r="R19" i="41"/>
  <c r="Q19" i="41"/>
  <c r="R18" i="41"/>
  <c r="Q18" i="41"/>
  <c r="R17" i="41"/>
  <c r="Q17" i="41"/>
  <c r="R16" i="41"/>
  <c r="Q16" i="41"/>
  <c r="R15" i="41"/>
  <c r="Q15" i="41"/>
  <c r="R14" i="41"/>
  <c r="Q14" i="41"/>
  <c r="R13" i="41"/>
  <c r="Q13" i="41"/>
  <c r="R12" i="41"/>
  <c r="Q12" i="41"/>
  <c r="S11" i="41"/>
  <c r="R11" i="41"/>
  <c r="Q11" i="41"/>
  <c r="S10" i="41"/>
  <c r="R10" i="41"/>
  <c r="Q10" i="41"/>
  <c r="S9" i="41"/>
  <c r="R9" i="41"/>
  <c r="Q9" i="41"/>
  <c r="R8" i="41"/>
  <c r="Q8" i="41"/>
  <c r="S7" i="41"/>
  <c r="R7" i="41"/>
  <c r="Q7" i="41"/>
  <c r="S6" i="41"/>
  <c r="R6" i="41"/>
  <c r="Q6" i="41"/>
  <c r="R5" i="41"/>
  <c r="S5" i="41" s="1"/>
  <c r="Q5" i="41"/>
  <c r="D161" i="40"/>
  <c r="B161" i="40"/>
  <c r="D160" i="40"/>
  <c r="C160" i="40"/>
  <c r="D159" i="40"/>
  <c r="C159" i="40"/>
  <c r="D158" i="40"/>
  <c r="C158" i="40"/>
  <c r="D157" i="40"/>
  <c r="C157" i="40"/>
  <c r="C156" i="40"/>
  <c r="D154" i="40"/>
  <c r="D153" i="40"/>
  <c r="C153" i="40"/>
  <c r="D152" i="40"/>
  <c r="C152" i="40"/>
  <c r="D151" i="40"/>
  <c r="C151" i="40"/>
  <c r="D150" i="40"/>
  <c r="C150" i="40"/>
  <c r="D149" i="40"/>
  <c r="C149" i="40"/>
  <c r="C148" i="40"/>
  <c r="D146" i="40"/>
  <c r="D145" i="40"/>
  <c r="D144" i="40"/>
  <c r="C144" i="40"/>
  <c r="D143" i="40"/>
  <c r="C143" i="40"/>
  <c r="D142" i="40"/>
  <c r="C142" i="40"/>
  <c r="D141" i="40"/>
  <c r="C141" i="40"/>
  <c r="D140" i="40"/>
  <c r="C140" i="40"/>
  <c r="D138" i="40"/>
  <c r="D137" i="40"/>
  <c r="C137" i="40"/>
  <c r="D136" i="40"/>
  <c r="C136" i="40"/>
  <c r="D135" i="40"/>
  <c r="C135" i="40"/>
  <c r="D134" i="40"/>
  <c r="C134" i="40"/>
  <c r="D133" i="40"/>
  <c r="C133" i="40"/>
  <c r="D132" i="40"/>
  <c r="C132" i="40"/>
  <c r="D130" i="40"/>
  <c r="C130" i="40"/>
  <c r="D129" i="40"/>
  <c r="C129" i="40"/>
  <c r="D128" i="40"/>
  <c r="C128" i="40"/>
  <c r="D127" i="40"/>
  <c r="C127" i="40"/>
  <c r="D126" i="40"/>
  <c r="C126" i="40"/>
  <c r="D125" i="40"/>
  <c r="C125" i="40"/>
  <c r="D124" i="40"/>
  <c r="C124" i="40"/>
  <c r="D122" i="40"/>
  <c r="C122" i="40"/>
  <c r="D121" i="40"/>
  <c r="C121" i="40"/>
  <c r="D120" i="40"/>
  <c r="C120" i="40"/>
  <c r="D119" i="40"/>
  <c r="C119" i="40"/>
  <c r="D118" i="40"/>
  <c r="C118" i="40"/>
  <c r="D117" i="40"/>
  <c r="C117" i="40"/>
  <c r="D116" i="40"/>
  <c r="C116" i="40"/>
  <c r="D114" i="40"/>
  <c r="C114" i="40"/>
  <c r="D113" i="40"/>
  <c r="C113" i="40"/>
  <c r="D112" i="40"/>
  <c r="C112" i="40"/>
  <c r="D111" i="40"/>
  <c r="C111" i="40"/>
  <c r="D110" i="40"/>
  <c r="C110" i="40"/>
  <c r="D109" i="40"/>
  <c r="C109" i="40"/>
  <c r="D108" i="40"/>
  <c r="C108" i="40"/>
  <c r="D106" i="40"/>
  <c r="C106" i="40"/>
  <c r="D105" i="40"/>
  <c r="C105" i="40"/>
  <c r="D104" i="40"/>
  <c r="C104" i="40"/>
  <c r="D103" i="40"/>
  <c r="C103" i="40"/>
  <c r="D102" i="40"/>
  <c r="C102" i="40"/>
  <c r="D101" i="40"/>
  <c r="C101" i="40"/>
  <c r="D100" i="40"/>
  <c r="C100" i="40"/>
  <c r="D98" i="40"/>
  <c r="C98" i="40"/>
  <c r="D97" i="40"/>
  <c r="C97" i="40"/>
  <c r="D96" i="40"/>
  <c r="C96" i="40"/>
  <c r="D95" i="40"/>
  <c r="C95" i="40"/>
  <c r="D94" i="40"/>
  <c r="C94" i="40"/>
  <c r="D93" i="40"/>
  <c r="C93" i="40"/>
  <c r="D92" i="40"/>
  <c r="C92" i="40"/>
  <c r="D90" i="40"/>
  <c r="C90" i="40"/>
  <c r="D89" i="40"/>
  <c r="C89" i="40"/>
  <c r="D88" i="40"/>
  <c r="C88" i="40"/>
  <c r="D87" i="40"/>
  <c r="C87" i="40"/>
  <c r="D86" i="40"/>
  <c r="C86" i="40"/>
  <c r="D85" i="40"/>
  <c r="C85" i="40"/>
  <c r="D84" i="40"/>
  <c r="C84" i="40"/>
  <c r="D82" i="40"/>
  <c r="C82" i="40"/>
  <c r="D81" i="40"/>
  <c r="C81" i="40"/>
  <c r="D80" i="40"/>
  <c r="C80" i="40"/>
  <c r="D79" i="40"/>
  <c r="C79" i="40"/>
  <c r="D78" i="40"/>
  <c r="C78" i="40"/>
  <c r="D77" i="40"/>
  <c r="C77" i="40"/>
  <c r="D76" i="40"/>
  <c r="C76" i="40"/>
  <c r="D74" i="40"/>
  <c r="C74" i="40"/>
  <c r="D73" i="40"/>
  <c r="C73" i="40"/>
  <c r="D70" i="40"/>
  <c r="B70" i="40"/>
  <c r="D68" i="40"/>
  <c r="D67" i="40"/>
  <c r="C65" i="40"/>
  <c r="D64" i="40"/>
  <c r="C64" i="40"/>
  <c r="D63" i="40"/>
  <c r="C63" i="40"/>
  <c r="D62" i="40"/>
  <c r="C62" i="40"/>
  <c r="D61" i="40"/>
  <c r="C61" i="40"/>
  <c r="D60" i="40"/>
  <c r="D59" i="40"/>
  <c r="C59" i="40"/>
  <c r="D58" i="40"/>
  <c r="C58" i="40"/>
  <c r="C57" i="40"/>
  <c r="D56" i="40"/>
  <c r="C56" i="40"/>
  <c r="D55" i="40"/>
  <c r="C55" i="40"/>
  <c r="D54" i="40"/>
  <c r="C54" i="40"/>
  <c r="D53" i="40"/>
  <c r="C53" i="40"/>
  <c r="D52" i="40"/>
  <c r="D51" i="40"/>
  <c r="C51" i="40"/>
  <c r="D50" i="40"/>
  <c r="C50" i="40"/>
  <c r="C49" i="40"/>
  <c r="D48" i="40"/>
  <c r="C48" i="40"/>
  <c r="D47" i="40"/>
  <c r="C47" i="40"/>
  <c r="D46" i="40"/>
  <c r="C46" i="40"/>
  <c r="D45" i="40"/>
  <c r="C45" i="40"/>
  <c r="D44" i="40"/>
  <c r="D43" i="40"/>
  <c r="C43" i="40"/>
  <c r="D42" i="40"/>
  <c r="C42" i="40"/>
  <c r="C41" i="40"/>
  <c r="D40" i="40"/>
  <c r="D38" i="40" s="1"/>
  <c r="C40" i="40"/>
  <c r="D39" i="40"/>
  <c r="C39" i="40"/>
  <c r="D36" i="40"/>
  <c r="C36" i="40"/>
  <c r="D35" i="40"/>
  <c r="C35" i="40"/>
  <c r="C34" i="40"/>
  <c r="C33" i="40"/>
  <c r="D32" i="40"/>
  <c r="C32" i="40"/>
  <c r="D31" i="40"/>
  <c r="C31" i="40"/>
  <c r="D30" i="40"/>
  <c r="D29" i="40"/>
  <c r="D28" i="40"/>
  <c r="C28" i="40"/>
  <c r="D27" i="40"/>
  <c r="C27" i="40"/>
  <c r="C26" i="40"/>
  <c r="C25" i="40"/>
  <c r="D24" i="40"/>
  <c r="C24" i="40"/>
  <c r="D23" i="40"/>
  <c r="D21" i="40" s="1"/>
  <c r="C23" i="40"/>
  <c r="D22" i="40"/>
  <c r="D11" i="40"/>
  <c r="D9" i="40"/>
  <c r="D7" i="40"/>
  <c r="D5" i="40"/>
  <c r="C74" i="41" l="1"/>
  <c r="C147" i="43"/>
  <c r="J147" i="43" s="1"/>
  <c r="J145" i="43"/>
  <c r="C5" i="40"/>
  <c r="E5" i="40"/>
  <c r="D72" i="40"/>
  <c r="C38" i="40"/>
  <c r="G72" i="41"/>
  <c r="G74" i="41" s="1"/>
  <c r="O72" i="41"/>
  <c r="O74" i="41" s="1"/>
  <c r="C21" i="40"/>
  <c r="C18" i="40" s="1"/>
  <c r="E7" i="40"/>
  <c r="M72" i="41"/>
  <c r="M74" i="41" s="1"/>
  <c r="E72" i="41"/>
  <c r="E74" i="41" s="1"/>
  <c r="F72" i="41"/>
  <c r="F74" i="41" s="1"/>
  <c r="S29" i="41"/>
  <c r="S4" i="41"/>
  <c r="N72" i="41"/>
  <c r="N74" i="41" s="1"/>
  <c r="D18" i="40"/>
  <c r="E18" i="40" s="1"/>
  <c r="J72" i="41"/>
  <c r="J74" i="41" s="1"/>
  <c r="Q60" i="41"/>
  <c r="C11" i="40" s="1"/>
  <c r="E11" i="40" s="1"/>
  <c r="Q70" i="41"/>
  <c r="C15" i="40" s="1"/>
  <c r="E15" i="40" s="1"/>
  <c r="R21" i="41"/>
  <c r="Q53" i="41"/>
  <c r="C9" i="40" s="1"/>
  <c r="E9" i="40" s="1"/>
  <c r="D13" i="40"/>
  <c r="J54" i="43"/>
  <c r="D17" i="40" l="1"/>
  <c r="C13" i="40"/>
  <c r="C17" i="40" s="1"/>
  <c r="C19" i="40" s="1"/>
  <c r="Q72" i="41"/>
  <c r="Q62" i="41"/>
  <c r="Q74" i="41" l="1"/>
  <c r="R72" i="41"/>
  <c r="D19" i="40"/>
  <c r="E19" i="40" s="1"/>
  <c r="E17" i="40"/>
  <c r="E13" i="40"/>
  <c r="J150" i="38" l="1"/>
  <c r="J146" i="38"/>
  <c r="I144" i="38"/>
  <c r="H144" i="38"/>
  <c r="G144" i="38"/>
  <c r="F144" i="38"/>
  <c r="E144" i="38"/>
  <c r="E145" i="38" s="1"/>
  <c r="E147" i="38" s="1"/>
  <c r="D144" i="38"/>
  <c r="C144" i="38"/>
  <c r="J144" i="38" s="1"/>
  <c r="J143" i="38"/>
  <c r="J142" i="38"/>
  <c r="J141" i="38"/>
  <c r="J140" i="38"/>
  <c r="D155" i="35" s="1"/>
  <c r="J139" i="38"/>
  <c r="J138" i="38"/>
  <c r="D153" i="35" s="1"/>
  <c r="J137" i="38"/>
  <c r="J136" i="38"/>
  <c r="J135" i="38"/>
  <c r="J134" i="38"/>
  <c r="J133" i="38"/>
  <c r="J132" i="38"/>
  <c r="D147" i="35" s="1"/>
  <c r="J131" i="38"/>
  <c r="J130" i="38"/>
  <c r="D145" i="35" s="1"/>
  <c r="J129" i="38"/>
  <c r="J127" i="38"/>
  <c r="J126" i="38"/>
  <c r="J125" i="38"/>
  <c r="J124" i="38"/>
  <c r="J123" i="38"/>
  <c r="J122" i="38"/>
  <c r="J121" i="38"/>
  <c r="D136" i="35" s="1"/>
  <c r="J120" i="38"/>
  <c r="J119" i="38"/>
  <c r="J118" i="38"/>
  <c r="J117" i="38"/>
  <c r="J116" i="38"/>
  <c r="J115" i="38"/>
  <c r="J114" i="38"/>
  <c r="J113" i="38"/>
  <c r="D128" i="35" s="1"/>
  <c r="J112" i="38"/>
  <c r="J111" i="38"/>
  <c r="J110" i="38"/>
  <c r="J109" i="38"/>
  <c r="J108" i="38"/>
  <c r="J107" i="38"/>
  <c r="J106" i="38"/>
  <c r="J105" i="38"/>
  <c r="D120" i="35" s="1"/>
  <c r="J104" i="38"/>
  <c r="J103" i="38"/>
  <c r="J102" i="38"/>
  <c r="J101" i="38"/>
  <c r="J100" i="38"/>
  <c r="J99" i="38"/>
  <c r="J98" i="38"/>
  <c r="J97" i="38"/>
  <c r="D112" i="35" s="1"/>
  <c r="J96" i="38"/>
  <c r="J95" i="38"/>
  <c r="J94" i="38"/>
  <c r="J93" i="38"/>
  <c r="J92" i="38"/>
  <c r="J91" i="38"/>
  <c r="J90" i="38"/>
  <c r="J89" i="38"/>
  <c r="D104" i="35" s="1"/>
  <c r="J88" i="38"/>
  <c r="J87" i="38"/>
  <c r="J86" i="38"/>
  <c r="J85" i="38"/>
  <c r="J84" i="38"/>
  <c r="J83" i="38"/>
  <c r="J82" i="38"/>
  <c r="J81" i="38"/>
  <c r="D96" i="35" s="1"/>
  <c r="J80" i="38"/>
  <c r="J79" i="38"/>
  <c r="J78" i="38"/>
  <c r="J77" i="38"/>
  <c r="J76" i="38"/>
  <c r="J75" i="38"/>
  <c r="J74" i="38"/>
  <c r="J73" i="38"/>
  <c r="D88" i="35" s="1"/>
  <c r="J72" i="38"/>
  <c r="J71" i="38"/>
  <c r="J70" i="38"/>
  <c r="J69" i="38"/>
  <c r="J68" i="38"/>
  <c r="J67" i="38"/>
  <c r="J66" i="38"/>
  <c r="J65" i="38"/>
  <c r="D80" i="35" s="1"/>
  <c r="J64" i="38"/>
  <c r="J63" i="38"/>
  <c r="J62" i="38"/>
  <c r="J61" i="38"/>
  <c r="J60" i="38"/>
  <c r="J59" i="38"/>
  <c r="J58" i="38"/>
  <c r="J57" i="38"/>
  <c r="D72" i="35" s="1"/>
  <c r="D70" i="35" s="1"/>
  <c r="J56" i="38"/>
  <c r="E54" i="38"/>
  <c r="D54" i="38"/>
  <c r="D145" i="38" s="1"/>
  <c r="D147" i="38" s="1"/>
  <c r="J53" i="38"/>
  <c r="J52" i="38"/>
  <c r="I51" i="38"/>
  <c r="I54" i="38" s="1"/>
  <c r="I145" i="38" s="1"/>
  <c r="I147" i="38" s="1"/>
  <c r="H51" i="38"/>
  <c r="H54" i="38" s="1"/>
  <c r="H145" i="38" s="1"/>
  <c r="H147" i="38" s="1"/>
  <c r="G51" i="38"/>
  <c r="G54" i="38" s="1"/>
  <c r="G145" i="38" s="1"/>
  <c r="G147" i="38" s="1"/>
  <c r="F51" i="38"/>
  <c r="F54" i="38" s="1"/>
  <c r="F145" i="38" s="1"/>
  <c r="F147" i="38" s="1"/>
  <c r="E51" i="38"/>
  <c r="D51" i="38"/>
  <c r="C51" i="38"/>
  <c r="C54" i="38" s="1"/>
  <c r="J50" i="38"/>
  <c r="J49" i="38"/>
  <c r="J48" i="38"/>
  <c r="D66" i="35" s="1"/>
  <c r="J47" i="38"/>
  <c r="D65" i="35" s="1"/>
  <c r="J46" i="38"/>
  <c r="D64" i="35" s="1"/>
  <c r="J45" i="38"/>
  <c r="J44" i="38"/>
  <c r="J43" i="38"/>
  <c r="J42" i="38"/>
  <c r="J41" i="38"/>
  <c r="J40" i="38"/>
  <c r="D58" i="35" s="1"/>
  <c r="J39" i="38"/>
  <c r="D57" i="35" s="1"/>
  <c r="J38" i="38"/>
  <c r="D56" i="35" s="1"/>
  <c r="J37" i="38"/>
  <c r="J36" i="38"/>
  <c r="J35" i="38"/>
  <c r="J34" i="38"/>
  <c r="J33" i="38"/>
  <c r="J32" i="38"/>
  <c r="D50" i="35" s="1"/>
  <c r="J31" i="38"/>
  <c r="D49" i="35" s="1"/>
  <c r="J30" i="38"/>
  <c r="D48" i="35" s="1"/>
  <c r="J29" i="38"/>
  <c r="J28" i="38"/>
  <c r="J27" i="38"/>
  <c r="J26" i="38"/>
  <c r="J25" i="38"/>
  <c r="J24" i="38"/>
  <c r="D42" i="35" s="1"/>
  <c r="J23" i="38"/>
  <c r="D41" i="35" s="1"/>
  <c r="J22" i="38"/>
  <c r="D40" i="35" s="1"/>
  <c r="J21" i="38"/>
  <c r="J20" i="38"/>
  <c r="J18" i="38"/>
  <c r="J17" i="38"/>
  <c r="J16" i="38"/>
  <c r="J15" i="38"/>
  <c r="D34" i="35" s="1"/>
  <c r="J14" i="38"/>
  <c r="D33" i="35" s="1"/>
  <c r="J13" i="38"/>
  <c r="D32" i="35" s="1"/>
  <c r="J12" i="38"/>
  <c r="J11" i="38"/>
  <c r="J10" i="38"/>
  <c r="J9" i="38"/>
  <c r="J8" i="38"/>
  <c r="J7" i="38"/>
  <c r="D26" i="35" s="1"/>
  <c r="J6" i="38"/>
  <c r="D25" i="35" s="1"/>
  <c r="J5" i="38"/>
  <c r="D24" i="35" s="1"/>
  <c r="J4" i="38"/>
  <c r="J3" i="38"/>
  <c r="G82" i="37"/>
  <c r="C81" i="37"/>
  <c r="B149" i="38" s="1"/>
  <c r="H79" i="37"/>
  <c r="G79" i="37"/>
  <c r="F79" i="37"/>
  <c r="E79" i="37"/>
  <c r="D79" i="37"/>
  <c r="H71" i="37"/>
  <c r="G71" i="37"/>
  <c r="F71" i="37"/>
  <c r="E71" i="37"/>
  <c r="D71" i="37"/>
  <c r="H67" i="37"/>
  <c r="G67" i="37"/>
  <c r="F67" i="37"/>
  <c r="E67" i="37"/>
  <c r="D67" i="37"/>
  <c r="H57" i="37"/>
  <c r="G57" i="37"/>
  <c r="F57" i="37"/>
  <c r="E57" i="37"/>
  <c r="D57" i="37"/>
  <c r="H49" i="37"/>
  <c r="G49" i="37"/>
  <c r="G74" i="37" s="1"/>
  <c r="F49" i="37"/>
  <c r="D7" i="35" s="1"/>
  <c r="E49" i="37"/>
  <c r="D49" i="37"/>
  <c r="H33" i="37"/>
  <c r="H74" i="37" s="1"/>
  <c r="G33" i="37"/>
  <c r="F33" i="37"/>
  <c r="F74" i="37" s="1"/>
  <c r="E33" i="37"/>
  <c r="E74" i="37" s="1"/>
  <c r="D33" i="37"/>
  <c r="D74" i="37" s="1"/>
  <c r="L212" i="36"/>
  <c r="L211" i="36"/>
  <c r="L210" i="36"/>
  <c r="L209" i="36"/>
  <c r="L208" i="36"/>
  <c r="L207" i="36"/>
  <c r="C153" i="35" s="1"/>
  <c r="L206" i="36"/>
  <c r="C152" i="35" s="1"/>
  <c r="L205" i="36"/>
  <c r="C151" i="35" s="1"/>
  <c r="L204" i="36"/>
  <c r="L203" i="36"/>
  <c r="L202" i="36"/>
  <c r="L201" i="36"/>
  <c r="L200" i="36"/>
  <c r="L199" i="36"/>
  <c r="C145" i="35" s="1"/>
  <c r="L198" i="36"/>
  <c r="C144" i="35" s="1"/>
  <c r="L197" i="36"/>
  <c r="L196" i="36"/>
  <c r="C142" i="35" s="1"/>
  <c r="L195" i="36"/>
  <c r="L194" i="36"/>
  <c r="L193" i="36"/>
  <c r="L192" i="36"/>
  <c r="L191" i="36"/>
  <c r="C137" i="35" s="1"/>
  <c r="L190" i="36"/>
  <c r="C136" i="35" s="1"/>
  <c r="L189" i="36"/>
  <c r="C135" i="35" s="1"/>
  <c r="L188" i="36"/>
  <c r="C134" i="35" s="1"/>
  <c r="L187" i="36"/>
  <c r="L186" i="36"/>
  <c r="L185" i="36"/>
  <c r="L184" i="36"/>
  <c r="L183" i="36"/>
  <c r="L182" i="36"/>
  <c r="C129" i="35" s="1"/>
  <c r="L181" i="36"/>
  <c r="C128" i="35" s="1"/>
  <c r="L180" i="36"/>
  <c r="C127" i="35" s="1"/>
  <c r="L179" i="36"/>
  <c r="L178" i="36"/>
  <c r="L177" i="36"/>
  <c r="L176" i="36"/>
  <c r="L175" i="36"/>
  <c r="L174" i="36"/>
  <c r="C121" i="35" s="1"/>
  <c r="L173" i="36"/>
  <c r="C120" i="35" s="1"/>
  <c r="L172" i="36"/>
  <c r="C119" i="35" s="1"/>
  <c r="L171" i="36"/>
  <c r="L170" i="36"/>
  <c r="L169" i="36"/>
  <c r="L168" i="36"/>
  <c r="L167" i="36"/>
  <c r="L166" i="36"/>
  <c r="C113" i="35" s="1"/>
  <c r="L165" i="36"/>
  <c r="C112" i="35" s="1"/>
  <c r="L164" i="36"/>
  <c r="C111" i="35" s="1"/>
  <c r="L163" i="36"/>
  <c r="L162" i="36"/>
  <c r="L161" i="36"/>
  <c r="L160" i="36"/>
  <c r="L159" i="36"/>
  <c r="L158" i="36"/>
  <c r="C105" i="35" s="1"/>
  <c r="L157" i="36"/>
  <c r="C104" i="35" s="1"/>
  <c r="L156" i="36"/>
  <c r="C103" i="35" s="1"/>
  <c r="L155" i="36"/>
  <c r="L154" i="36"/>
  <c r="L153" i="36"/>
  <c r="L152" i="36"/>
  <c r="L151" i="36"/>
  <c r="L150" i="36"/>
  <c r="C97" i="35" s="1"/>
  <c r="L149" i="36"/>
  <c r="C96" i="35" s="1"/>
  <c r="L148" i="36"/>
  <c r="C95" i="35" s="1"/>
  <c r="L147" i="36"/>
  <c r="L146" i="36"/>
  <c r="L145" i="36"/>
  <c r="L144" i="36"/>
  <c r="L143" i="36"/>
  <c r="L142" i="36"/>
  <c r="C89" i="35" s="1"/>
  <c r="L141" i="36"/>
  <c r="C88" i="35" s="1"/>
  <c r="L140" i="36"/>
  <c r="C87" i="35" s="1"/>
  <c r="L139" i="36"/>
  <c r="L138" i="36"/>
  <c r="L137" i="36"/>
  <c r="L136" i="36"/>
  <c r="L135" i="36"/>
  <c r="L134" i="36"/>
  <c r="C81" i="35" s="1"/>
  <c r="L133" i="36"/>
  <c r="C80" i="35" s="1"/>
  <c r="L132" i="36"/>
  <c r="C79" i="35" s="1"/>
  <c r="L131" i="36"/>
  <c r="L130" i="36"/>
  <c r="L129" i="36"/>
  <c r="L128" i="36"/>
  <c r="L127" i="36"/>
  <c r="L126" i="36"/>
  <c r="C73" i="35" s="1"/>
  <c r="L125" i="36"/>
  <c r="C72" i="35" s="1"/>
  <c r="L124" i="36"/>
  <c r="C71" i="35" s="1"/>
  <c r="L121" i="36"/>
  <c r="L120" i="36"/>
  <c r="L119" i="36"/>
  <c r="L118" i="36"/>
  <c r="L117" i="36"/>
  <c r="L116" i="36"/>
  <c r="L115" i="36"/>
  <c r="C59" i="35" s="1"/>
  <c r="L114" i="36"/>
  <c r="C58" i="35" s="1"/>
  <c r="L113" i="36"/>
  <c r="L112" i="36"/>
  <c r="L111" i="36"/>
  <c r="L110" i="36"/>
  <c r="L109" i="36"/>
  <c r="L108" i="36"/>
  <c r="L107" i="36"/>
  <c r="C51" i="35" s="1"/>
  <c r="L106" i="36"/>
  <c r="C50" i="35" s="1"/>
  <c r="L105" i="36"/>
  <c r="L104" i="36"/>
  <c r="L103" i="36"/>
  <c r="L102" i="36"/>
  <c r="L101" i="36"/>
  <c r="L100" i="36"/>
  <c r="L99" i="36"/>
  <c r="C43" i="35" s="1"/>
  <c r="L98" i="36"/>
  <c r="C42" i="35" s="1"/>
  <c r="L97" i="36"/>
  <c r="L96" i="36"/>
  <c r="L95" i="36"/>
  <c r="L94" i="36"/>
  <c r="L93" i="36"/>
  <c r="L92" i="36"/>
  <c r="L91" i="36"/>
  <c r="L90" i="36"/>
  <c r="C34" i="35" s="1"/>
  <c r="L89" i="36"/>
  <c r="L88" i="36"/>
  <c r="L87" i="36"/>
  <c r="L86" i="36"/>
  <c r="L85" i="36"/>
  <c r="C30" i="35" s="1"/>
  <c r="L84" i="36"/>
  <c r="C29" i="35" s="1"/>
  <c r="L83" i="36"/>
  <c r="C28" i="35" s="1"/>
  <c r="L82" i="36"/>
  <c r="L81" i="36"/>
  <c r="L80" i="36"/>
  <c r="L79" i="36"/>
  <c r="L78" i="36"/>
  <c r="L77" i="36"/>
  <c r="C22" i="35" s="1"/>
  <c r="K73" i="36"/>
  <c r="J73" i="36"/>
  <c r="I73" i="36"/>
  <c r="H73" i="36"/>
  <c r="G73" i="36"/>
  <c r="F73" i="36"/>
  <c r="E73" i="36"/>
  <c r="D73" i="36"/>
  <c r="L73" i="36" s="1"/>
  <c r="C73" i="36"/>
  <c r="K70" i="36"/>
  <c r="K72" i="36" s="1"/>
  <c r="K74" i="36" s="1"/>
  <c r="J70" i="36"/>
  <c r="J72" i="36" s="1"/>
  <c r="J74" i="36" s="1"/>
  <c r="I70" i="36"/>
  <c r="H70" i="36"/>
  <c r="G70" i="36"/>
  <c r="F70" i="36"/>
  <c r="F72" i="36" s="1"/>
  <c r="F74" i="36" s="1"/>
  <c r="E70" i="36"/>
  <c r="E72" i="36" s="1"/>
  <c r="E74" i="36" s="1"/>
  <c r="D70" i="36"/>
  <c r="C70" i="36"/>
  <c r="C72" i="36" s="1"/>
  <c r="M68" i="36"/>
  <c r="L68" i="36"/>
  <c r="M67" i="36"/>
  <c r="L67" i="36"/>
  <c r="M66" i="36"/>
  <c r="L66" i="36"/>
  <c r="M65" i="36"/>
  <c r="L65" i="36"/>
  <c r="K63" i="36"/>
  <c r="C63" i="36"/>
  <c r="K61" i="36"/>
  <c r="J61" i="36"/>
  <c r="J63" i="36" s="1"/>
  <c r="I61" i="36"/>
  <c r="I63" i="36" s="1"/>
  <c r="H61" i="36"/>
  <c r="H63" i="36" s="1"/>
  <c r="H72" i="36" s="1"/>
  <c r="H74" i="36" s="1"/>
  <c r="G61" i="36"/>
  <c r="G63" i="36" s="1"/>
  <c r="G72" i="36" s="1"/>
  <c r="G74" i="36" s="1"/>
  <c r="F61" i="36"/>
  <c r="F63" i="36" s="1"/>
  <c r="E61" i="36"/>
  <c r="E63" i="36" s="1"/>
  <c r="D61" i="36"/>
  <c r="C61" i="36"/>
  <c r="L61" i="36" s="1"/>
  <c r="C11" i="35" s="1"/>
  <c r="M59" i="36"/>
  <c r="L59" i="36"/>
  <c r="M58" i="36"/>
  <c r="L58" i="36"/>
  <c r="M57" i="36"/>
  <c r="L57" i="36"/>
  <c r="M56" i="36"/>
  <c r="L56" i="36"/>
  <c r="K54" i="36"/>
  <c r="J54" i="36"/>
  <c r="I54" i="36"/>
  <c r="H54" i="36"/>
  <c r="G54" i="36"/>
  <c r="F54" i="36"/>
  <c r="E54" i="36"/>
  <c r="D54" i="36"/>
  <c r="L54" i="36" s="1"/>
  <c r="C9" i="35" s="1"/>
  <c r="E9" i="35" s="1"/>
  <c r="C54" i="36"/>
  <c r="M52" i="36"/>
  <c r="L52" i="36"/>
  <c r="M51" i="36"/>
  <c r="L51" i="36"/>
  <c r="M50" i="36"/>
  <c r="L50" i="36"/>
  <c r="M49" i="36"/>
  <c r="L49" i="36"/>
  <c r="M48" i="36"/>
  <c r="L48" i="36"/>
  <c r="M47" i="36"/>
  <c r="L47" i="36"/>
  <c r="M46" i="36"/>
  <c r="L46" i="36"/>
  <c r="M45" i="36"/>
  <c r="L45" i="36"/>
  <c r="M44" i="36"/>
  <c r="L44" i="36"/>
  <c r="M43" i="36"/>
  <c r="L43" i="36"/>
  <c r="K41" i="36"/>
  <c r="J41" i="36"/>
  <c r="I41" i="36"/>
  <c r="H41" i="36"/>
  <c r="G41" i="36"/>
  <c r="F41" i="36"/>
  <c r="E41" i="36"/>
  <c r="D41" i="36"/>
  <c r="C41" i="36"/>
  <c r="L41" i="36" s="1"/>
  <c r="C7" i="35" s="1"/>
  <c r="M39" i="36"/>
  <c r="L39" i="36"/>
  <c r="M38" i="36"/>
  <c r="L38" i="36"/>
  <c r="M37" i="36"/>
  <c r="L37" i="36"/>
  <c r="M36" i="36"/>
  <c r="L36" i="36"/>
  <c r="M35" i="36"/>
  <c r="L35" i="36"/>
  <c r="M34" i="36"/>
  <c r="L34" i="36"/>
  <c r="M33" i="36"/>
  <c r="L33" i="36"/>
  <c r="M32" i="36"/>
  <c r="L32" i="36"/>
  <c r="M31" i="36"/>
  <c r="L31" i="36"/>
  <c r="M30" i="36"/>
  <c r="L30" i="36"/>
  <c r="K28" i="36"/>
  <c r="J28" i="36"/>
  <c r="I28" i="36"/>
  <c r="H28" i="36"/>
  <c r="G28" i="36"/>
  <c r="F28" i="36"/>
  <c r="E28" i="36"/>
  <c r="D28" i="36"/>
  <c r="L28" i="36" s="1"/>
  <c r="C28" i="36"/>
  <c r="M26" i="36"/>
  <c r="L26" i="36"/>
  <c r="M25" i="36"/>
  <c r="L25" i="36"/>
  <c r="M24" i="36"/>
  <c r="L24" i="36"/>
  <c r="M23" i="36"/>
  <c r="L23" i="36"/>
  <c r="M22" i="36"/>
  <c r="L22" i="36"/>
  <c r="M21" i="36"/>
  <c r="L21" i="36"/>
  <c r="M20" i="36"/>
  <c r="L20" i="36"/>
  <c r="M19" i="36"/>
  <c r="L19" i="36"/>
  <c r="M18" i="36"/>
  <c r="L18" i="36"/>
  <c r="M17" i="36"/>
  <c r="L17" i="36"/>
  <c r="M16" i="36"/>
  <c r="L16" i="36"/>
  <c r="M15" i="36"/>
  <c r="L15" i="36"/>
  <c r="M14" i="36"/>
  <c r="L14" i="36"/>
  <c r="M13" i="36"/>
  <c r="L13" i="36"/>
  <c r="M12" i="36"/>
  <c r="L12" i="36"/>
  <c r="N11" i="36"/>
  <c r="M11" i="36"/>
  <c r="L11" i="36"/>
  <c r="N10" i="36"/>
  <c r="M10" i="36"/>
  <c r="L10" i="36"/>
  <c r="M9" i="36"/>
  <c r="N9" i="36" s="1"/>
  <c r="L9" i="36"/>
  <c r="M8" i="36"/>
  <c r="L8" i="36"/>
  <c r="N7" i="36"/>
  <c r="M7" i="36"/>
  <c r="L7" i="36"/>
  <c r="M6" i="36"/>
  <c r="N6" i="36" s="1"/>
  <c r="L6" i="36"/>
  <c r="N5" i="36"/>
  <c r="M5" i="36"/>
  <c r="L5" i="36"/>
  <c r="D159" i="35"/>
  <c r="B159" i="35"/>
  <c r="D158" i="35"/>
  <c r="C158" i="35"/>
  <c r="D157" i="35"/>
  <c r="C157" i="35"/>
  <c r="D156" i="35"/>
  <c r="C156" i="35"/>
  <c r="C155" i="35"/>
  <c r="D154" i="35"/>
  <c r="C154" i="35"/>
  <c r="D152" i="35"/>
  <c r="D151" i="35"/>
  <c r="D150" i="35"/>
  <c r="C150" i="35"/>
  <c r="D149" i="35"/>
  <c r="C149" i="35"/>
  <c r="D148" i="35"/>
  <c r="C148" i="35"/>
  <c r="C147" i="35"/>
  <c r="D146" i="35"/>
  <c r="C146" i="35"/>
  <c r="D144" i="35"/>
  <c r="D143" i="35"/>
  <c r="D142" i="35"/>
  <c r="D141" i="35"/>
  <c r="C141" i="35"/>
  <c r="D140" i="35"/>
  <c r="C140" i="35"/>
  <c r="D139" i="35"/>
  <c r="C139" i="35"/>
  <c r="D138" i="35"/>
  <c r="C138" i="35"/>
  <c r="D137" i="35"/>
  <c r="D135" i="35"/>
  <c r="D134" i="35"/>
  <c r="D133" i="35"/>
  <c r="C133" i="35"/>
  <c r="D132" i="35"/>
  <c r="C132" i="35"/>
  <c r="D131" i="35"/>
  <c r="C131" i="35"/>
  <c r="D130" i="35"/>
  <c r="C130" i="35"/>
  <c r="D129" i="35"/>
  <c r="D127" i="35"/>
  <c r="D126" i="35"/>
  <c r="C126" i="35"/>
  <c r="D125" i="35"/>
  <c r="C125" i="35"/>
  <c r="D124" i="35"/>
  <c r="C124" i="35"/>
  <c r="D123" i="35"/>
  <c r="C123" i="35"/>
  <c r="D122" i="35"/>
  <c r="C122" i="35"/>
  <c r="D121" i="35"/>
  <c r="D119" i="35"/>
  <c r="D118" i="35"/>
  <c r="C118" i="35"/>
  <c r="D117" i="35"/>
  <c r="C117" i="35"/>
  <c r="D116" i="35"/>
  <c r="C116" i="35"/>
  <c r="D115" i="35"/>
  <c r="C115" i="35"/>
  <c r="D114" i="35"/>
  <c r="C114" i="35"/>
  <c r="D113" i="35"/>
  <c r="D111" i="35"/>
  <c r="D110" i="35"/>
  <c r="C110" i="35"/>
  <c r="D109" i="35"/>
  <c r="C109" i="35"/>
  <c r="D108" i="35"/>
  <c r="C108" i="35"/>
  <c r="D107" i="35"/>
  <c r="C107" i="35"/>
  <c r="D106" i="35"/>
  <c r="C106" i="35"/>
  <c r="D105" i="35"/>
  <c r="D103" i="35"/>
  <c r="D102" i="35"/>
  <c r="C102" i="35"/>
  <c r="D101" i="35"/>
  <c r="C101" i="35"/>
  <c r="D100" i="35"/>
  <c r="C100" i="35"/>
  <c r="D99" i="35"/>
  <c r="C99" i="35"/>
  <c r="D98" i="35"/>
  <c r="C98" i="35"/>
  <c r="D97" i="35"/>
  <c r="D95" i="35"/>
  <c r="D94" i="35"/>
  <c r="C94" i="35"/>
  <c r="D93" i="35"/>
  <c r="C93" i="35"/>
  <c r="D92" i="35"/>
  <c r="C92" i="35"/>
  <c r="D91" i="35"/>
  <c r="C91" i="35"/>
  <c r="D90" i="35"/>
  <c r="C90" i="35"/>
  <c r="D89" i="35"/>
  <c r="D87" i="35"/>
  <c r="D86" i="35"/>
  <c r="C86" i="35"/>
  <c r="D85" i="35"/>
  <c r="C85" i="35"/>
  <c r="D84" i="35"/>
  <c r="C84" i="35"/>
  <c r="D83" i="35"/>
  <c r="C83" i="35"/>
  <c r="D82" i="35"/>
  <c r="C82" i="35"/>
  <c r="D81" i="35"/>
  <c r="D79" i="35"/>
  <c r="D78" i="35"/>
  <c r="C78" i="35"/>
  <c r="D77" i="35"/>
  <c r="C77" i="35"/>
  <c r="D76" i="35"/>
  <c r="C76" i="35"/>
  <c r="D75" i="35"/>
  <c r="C75" i="35"/>
  <c r="D74" i="35"/>
  <c r="C74" i="35"/>
  <c r="D73" i="35"/>
  <c r="D71" i="35"/>
  <c r="D68" i="35"/>
  <c r="D67" i="35"/>
  <c r="C65" i="35"/>
  <c r="C64" i="35"/>
  <c r="D63" i="35"/>
  <c r="C63" i="35"/>
  <c r="D62" i="35"/>
  <c r="C62" i="35"/>
  <c r="D61" i="35"/>
  <c r="C61" i="35"/>
  <c r="D60" i="35"/>
  <c r="C60" i="35"/>
  <c r="D59" i="35"/>
  <c r="C57" i="35"/>
  <c r="C56" i="35"/>
  <c r="D55" i="35"/>
  <c r="C55" i="35"/>
  <c r="D54" i="35"/>
  <c r="C54" i="35"/>
  <c r="D53" i="35"/>
  <c r="C53" i="35"/>
  <c r="D52" i="35"/>
  <c r="C52" i="35"/>
  <c r="D51" i="35"/>
  <c r="C49" i="35"/>
  <c r="C48" i="35"/>
  <c r="D47" i="35"/>
  <c r="C47" i="35"/>
  <c r="D46" i="35"/>
  <c r="C46" i="35"/>
  <c r="D45" i="35"/>
  <c r="C45" i="35"/>
  <c r="D44" i="35"/>
  <c r="C44" i="35"/>
  <c r="D43" i="35"/>
  <c r="C41" i="35"/>
  <c r="C40" i="35"/>
  <c r="C38" i="35" s="1"/>
  <c r="D39" i="35"/>
  <c r="D38" i="35" s="1"/>
  <c r="E38" i="35" s="1"/>
  <c r="C39" i="35"/>
  <c r="D36" i="35"/>
  <c r="C36" i="35"/>
  <c r="D35" i="35"/>
  <c r="C35" i="35"/>
  <c r="C33" i="35"/>
  <c r="C32" i="35"/>
  <c r="D31" i="35"/>
  <c r="C31" i="35"/>
  <c r="D30" i="35"/>
  <c r="D29" i="35"/>
  <c r="D28" i="35"/>
  <c r="D27" i="35"/>
  <c r="C27" i="35"/>
  <c r="C26" i="35"/>
  <c r="C25" i="35"/>
  <c r="C24" i="35"/>
  <c r="D23" i="35"/>
  <c r="C23" i="35"/>
  <c r="D22" i="35"/>
  <c r="D15" i="35"/>
  <c r="D11" i="35"/>
  <c r="E11" i="35" s="1"/>
  <c r="D9" i="35"/>
  <c r="D5" i="35"/>
  <c r="D13" i="35" s="1"/>
  <c r="C21" i="35" l="1"/>
  <c r="C5" i="35"/>
  <c r="C13" i="35" s="1"/>
  <c r="L63" i="36"/>
  <c r="N41" i="36"/>
  <c r="E13" i="35"/>
  <c r="D17" i="35"/>
  <c r="I72" i="36"/>
  <c r="I74" i="36" s="1"/>
  <c r="C70" i="35"/>
  <c r="E70" i="35" s="1"/>
  <c r="E7" i="35"/>
  <c r="C145" i="38"/>
  <c r="J54" i="38"/>
  <c r="D21" i="35"/>
  <c r="C74" i="36"/>
  <c r="L70" i="36"/>
  <c r="C15" i="35" s="1"/>
  <c r="E15" i="35" s="1"/>
  <c r="N4" i="36"/>
  <c r="J51" i="38"/>
  <c r="E5" i="35"/>
  <c r="D63" i="36"/>
  <c r="D72" i="36" s="1"/>
  <c r="D74" i="36" l="1"/>
  <c r="L72" i="36"/>
  <c r="E17" i="35"/>
  <c r="D18" i="35"/>
  <c r="E18" i="35" s="1"/>
  <c r="E21" i="35"/>
  <c r="C147" i="38"/>
  <c r="J147" i="38" s="1"/>
  <c r="J145" i="38"/>
  <c r="C17" i="35"/>
  <c r="C18" i="35"/>
  <c r="D19" i="35" l="1"/>
  <c r="M72" i="36"/>
  <c r="L74" i="36"/>
  <c r="C19" i="35"/>
  <c r="E19" i="35" l="1"/>
  <c r="J150" i="33" l="1"/>
  <c r="J146" i="33"/>
  <c r="I144" i="33"/>
  <c r="H144" i="33"/>
  <c r="G144" i="33"/>
  <c r="F144" i="33"/>
  <c r="F145" i="33" s="1"/>
  <c r="F147" i="33" s="1"/>
  <c r="E144" i="33"/>
  <c r="D144" i="33"/>
  <c r="C144" i="33"/>
  <c r="J144" i="33" s="1"/>
  <c r="J143" i="33"/>
  <c r="J142" i="33"/>
  <c r="J141" i="33"/>
  <c r="D154" i="30" s="1"/>
  <c r="E154" i="30" s="1"/>
  <c r="J140" i="33"/>
  <c r="D153" i="30" s="1"/>
  <c r="J139" i="33"/>
  <c r="J138" i="33"/>
  <c r="J137" i="33"/>
  <c r="J136" i="33"/>
  <c r="J135" i="33"/>
  <c r="J134" i="33"/>
  <c r="J133" i="33"/>
  <c r="D146" i="30" s="1"/>
  <c r="E146" i="30" s="1"/>
  <c r="J132" i="33"/>
  <c r="D145" i="30" s="1"/>
  <c r="J131" i="33"/>
  <c r="J130" i="33"/>
  <c r="J129" i="33"/>
  <c r="J127" i="33"/>
  <c r="J126" i="33"/>
  <c r="J125" i="33"/>
  <c r="J124" i="33"/>
  <c r="J123" i="33"/>
  <c r="J122" i="33"/>
  <c r="D135" i="30" s="1"/>
  <c r="J121" i="33"/>
  <c r="J120" i="33"/>
  <c r="J119" i="33"/>
  <c r="J118" i="33"/>
  <c r="J117" i="33"/>
  <c r="J116" i="33"/>
  <c r="J115" i="33"/>
  <c r="J114" i="33"/>
  <c r="D127" i="30" s="1"/>
  <c r="J113" i="33"/>
  <c r="J112" i="33"/>
  <c r="J111" i="33"/>
  <c r="J110" i="33"/>
  <c r="J109" i="33"/>
  <c r="J108" i="33"/>
  <c r="J107" i="33"/>
  <c r="J106" i="33"/>
  <c r="D119" i="30" s="1"/>
  <c r="J105" i="33"/>
  <c r="J104" i="33"/>
  <c r="J103" i="33"/>
  <c r="J102" i="33"/>
  <c r="J101" i="33"/>
  <c r="J100" i="33"/>
  <c r="J99" i="33"/>
  <c r="J98" i="33"/>
  <c r="D111" i="30" s="1"/>
  <c r="J97" i="33"/>
  <c r="J96" i="33"/>
  <c r="J95" i="33"/>
  <c r="J94" i="33"/>
  <c r="J93" i="33"/>
  <c r="J92" i="33"/>
  <c r="J91" i="33"/>
  <c r="J90" i="33"/>
  <c r="D103" i="30" s="1"/>
  <c r="J89" i="33"/>
  <c r="J88" i="33"/>
  <c r="J87" i="33"/>
  <c r="J86" i="33"/>
  <c r="J85" i="33"/>
  <c r="J84" i="33"/>
  <c r="J83" i="33"/>
  <c r="J82" i="33"/>
  <c r="D95" i="30" s="1"/>
  <c r="J81" i="33"/>
  <c r="J80" i="33"/>
  <c r="J79" i="33"/>
  <c r="J78" i="33"/>
  <c r="J77" i="33"/>
  <c r="J76" i="33"/>
  <c r="J75" i="33"/>
  <c r="J74" i="33"/>
  <c r="D87" i="30" s="1"/>
  <c r="J73" i="33"/>
  <c r="J72" i="33"/>
  <c r="J71" i="33"/>
  <c r="J70" i="33"/>
  <c r="J69" i="33"/>
  <c r="J68" i="33"/>
  <c r="J67" i="33"/>
  <c r="J66" i="33"/>
  <c r="D79" i="30" s="1"/>
  <c r="J65" i="33"/>
  <c r="J64" i="33"/>
  <c r="J63" i="33"/>
  <c r="J62" i="33"/>
  <c r="J61" i="33"/>
  <c r="J60" i="33"/>
  <c r="J59" i="33"/>
  <c r="J58" i="33"/>
  <c r="D71" i="30" s="1"/>
  <c r="J57" i="33"/>
  <c r="J56" i="33"/>
  <c r="F54" i="33"/>
  <c r="E54" i="33"/>
  <c r="E145" i="33" s="1"/>
  <c r="E147" i="33" s="1"/>
  <c r="D54" i="33"/>
  <c r="D145" i="33" s="1"/>
  <c r="D147" i="33" s="1"/>
  <c r="C54" i="33"/>
  <c r="C145" i="33" s="1"/>
  <c r="J53" i="33"/>
  <c r="J52" i="33"/>
  <c r="I51" i="33"/>
  <c r="I54" i="33" s="1"/>
  <c r="I145" i="33" s="1"/>
  <c r="I147" i="33" s="1"/>
  <c r="H51" i="33"/>
  <c r="H54" i="33" s="1"/>
  <c r="H145" i="33" s="1"/>
  <c r="H147" i="33" s="1"/>
  <c r="G51" i="33"/>
  <c r="G54" i="33" s="1"/>
  <c r="G145" i="33" s="1"/>
  <c r="G147" i="33" s="1"/>
  <c r="F51" i="33"/>
  <c r="E51" i="33"/>
  <c r="J51" i="33" s="1"/>
  <c r="D51" i="33"/>
  <c r="C51" i="33"/>
  <c r="J50" i="33"/>
  <c r="J49" i="33"/>
  <c r="J48" i="33"/>
  <c r="J47" i="33"/>
  <c r="D66" i="30" s="1"/>
  <c r="J46" i="33"/>
  <c r="J45" i="33"/>
  <c r="J44" i="33"/>
  <c r="J43" i="33"/>
  <c r="J42" i="33"/>
  <c r="J41" i="33"/>
  <c r="J40" i="33"/>
  <c r="J39" i="33"/>
  <c r="D58" i="30" s="1"/>
  <c r="J38" i="33"/>
  <c r="J37" i="33"/>
  <c r="J36" i="33"/>
  <c r="J35" i="33"/>
  <c r="J34" i="33"/>
  <c r="J33" i="33"/>
  <c r="J32" i="33"/>
  <c r="J31" i="33"/>
  <c r="D50" i="30" s="1"/>
  <c r="J30" i="33"/>
  <c r="J29" i="33"/>
  <c r="J28" i="33"/>
  <c r="J27" i="33"/>
  <c r="J26" i="33"/>
  <c r="J25" i="33"/>
  <c r="J24" i="33"/>
  <c r="J23" i="33"/>
  <c r="D42" i="30" s="1"/>
  <c r="D39" i="30" s="1"/>
  <c r="J22" i="33"/>
  <c r="J21" i="33"/>
  <c r="J20" i="33"/>
  <c r="J18" i="33"/>
  <c r="J17" i="33"/>
  <c r="J16" i="33"/>
  <c r="J15" i="33"/>
  <c r="J14" i="33"/>
  <c r="D33" i="30" s="1"/>
  <c r="J13" i="33"/>
  <c r="J12" i="33"/>
  <c r="J11" i="33"/>
  <c r="J10" i="33"/>
  <c r="J9" i="33"/>
  <c r="J8" i="33"/>
  <c r="J7" i="33"/>
  <c r="J6" i="33"/>
  <c r="D25" i="30" s="1"/>
  <c r="J5" i="33"/>
  <c r="J4" i="33"/>
  <c r="J3" i="33"/>
  <c r="G81" i="32"/>
  <c r="C80" i="32"/>
  <c r="B149" i="33" s="1"/>
  <c r="H79" i="32"/>
  <c r="G79" i="32"/>
  <c r="F79" i="32"/>
  <c r="E79" i="32"/>
  <c r="D79" i="32"/>
  <c r="H71" i="32"/>
  <c r="D15" i="30" s="1"/>
  <c r="G71" i="32"/>
  <c r="F71" i="32"/>
  <c r="E71" i="32"/>
  <c r="D71" i="32"/>
  <c r="H67" i="32"/>
  <c r="G67" i="32"/>
  <c r="F67" i="32"/>
  <c r="D11" i="30" s="1"/>
  <c r="E67" i="32"/>
  <c r="D67" i="32"/>
  <c r="H57" i="32"/>
  <c r="G57" i="32"/>
  <c r="F57" i="32"/>
  <c r="E57" i="32"/>
  <c r="D57" i="32"/>
  <c r="H49" i="32"/>
  <c r="D7" i="30" s="1"/>
  <c r="G49" i="32"/>
  <c r="G74" i="32" s="1"/>
  <c r="F49" i="32"/>
  <c r="E49" i="32"/>
  <c r="D49" i="32"/>
  <c r="H33" i="32"/>
  <c r="H74" i="32" s="1"/>
  <c r="G33" i="32"/>
  <c r="F33" i="32"/>
  <c r="F74" i="32" s="1"/>
  <c r="E33" i="32"/>
  <c r="E74" i="32" s="1"/>
  <c r="D33" i="32"/>
  <c r="D74" i="32" s="1"/>
  <c r="J212" i="31"/>
  <c r="C156" i="30" s="1"/>
  <c r="E156" i="30" s="1"/>
  <c r="J211" i="31"/>
  <c r="J210" i="31"/>
  <c r="J209" i="31"/>
  <c r="J208" i="31"/>
  <c r="J207" i="31"/>
  <c r="C151" i="30" s="1"/>
  <c r="E151" i="30" s="1"/>
  <c r="J206" i="31"/>
  <c r="J205" i="31"/>
  <c r="C149" i="30" s="1"/>
  <c r="E149" i="30" s="1"/>
  <c r="J204" i="31"/>
  <c r="C148" i="30" s="1"/>
  <c r="E148" i="30" s="1"/>
  <c r="J203" i="31"/>
  <c r="J202" i="31"/>
  <c r="J201" i="31"/>
  <c r="J200" i="31"/>
  <c r="J199" i="31"/>
  <c r="C143" i="30" s="1"/>
  <c r="E143" i="30" s="1"/>
  <c r="J198" i="31"/>
  <c r="J196" i="31"/>
  <c r="C140" i="30" s="1"/>
  <c r="J195" i="31"/>
  <c r="C139" i="30" s="1"/>
  <c r="J194" i="31"/>
  <c r="J193" i="31"/>
  <c r="J192" i="31"/>
  <c r="J191" i="31"/>
  <c r="J190" i="31"/>
  <c r="C134" i="30" s="1"/>
  <c r="J189" i="31"/>
  <c r="J188" i="31"/>
  <c r="C132" i="30" s="1"/>
  <c r="J187" i="31"/>
  <c r="C131" i="30" s="1"/>
  <c r="J186" i="31"/>
  <c r="J185" i="31"/>
  <c r="J184" i="31"/>
  <c r="J183" i="31"/>
  <c r="J182" i="31"/>
  <c r="C127" i="30" s="1"/>
  <c r="J181" i="31"/>
  <c r="C126" i="30" s="1"/>
  <c r="J180" i="31"/>
  <c r="C125" i="30" s="1"/>
  <c r="J179" i="31"/>
  <c r="J178" i="31"/>
  <c r="J177" i="31"/>
  <c r="J176" i="31"/>
  <c r="J175" i="31"/>
  <c r="J174" i="31"/>
  <c r="C119" i="30" s="1"/>
  <c r="J173" i="31"/>
  <c r="C118" i="30" s="1"/>
  <c r="J172" i="31"/>
  <c r="C117" i="30" s="1"/>
  <c r="J171" i="31"/>
  <c r="J170" i="31"/>
  <c r="J169" i="31"/>
  <c r="J168" i="31"/>
  <c r="J167" i="31"/>
  <c r="J166" i="31"/>
  <c r="C111" i="30" s="1"/>
  <c r="J165" i="31"/>
  <c r="C110" i="30" s="1"/>
  <c r="J164" i="31"/>
  <c r="C109" i="30" s="1"/>
  <c r="J163" i="31"/>
  <c r="J162" i="31"/>
  <c r="J161" i="31"/>
  <c r="J160" i="31"/>
  <c r="J159" i="31"/>
  <c r="J158" i="31"/>
  <c r="C103" i="30" s="1"/>
  <c r="J157" i="31"/>
  <c r="C102" i="30" s="1"/>
  <c r="J156" i="31"/>
  <c r="C101" i="30" s="1"/>
  <c r="J155" i="31"/>
  <c r="J154" i="31"/>
  <c r="J153" i="31"/>
  <c r="J152" i="31"/>
  <c r="J151" i="31"/>
  <c r="J150" i="31"/>
  <c r="C95" i="30" s="1"/>
  <c r="J149" i="31"/>
  <c r="C94" i="30" s="1"/>
  <c r="J148" i="31"/>
  <c r="C93" i="30" s="1"/>
  <c r="J147" i="31"/>
  <c r="J146" i="31"/>
  <c r="J145" i="31"/>
  <c r="J144" i="31"/>
  <c r="J143" i="31"/>
  <c r="J142" i="31"/>
  <c r="C87" i="30" s="1"/>
  <c r="J141" i="31"/>
  <c r="C86" i="30" s="1"/>
  <c r="J140" i="31"/>
  <c r="C85" i="30" s="1"/>
  <c r="J139" i="31"/>
  <c r="J138" i="31"/>
  <c r="J137" i="31"/>
  <c r="J136" i="31"/>
  <c r="J135" i="31"/>
  <c r="J134" i="31"/>
  <c r="C79" i="30" s="1"/>
  <c r="J133" i="31"/>
  <c r="C78" i="30" s="1"/>
  <c r="J132" i="31"/>
  <c r="C77" i="30" s="1"/>
  <c r="J131" i="31"/>
  <c r="J130" i="31"/>
  <c r="J129" i="31"/>
  <c r="J128" i="31"/>
  <c r="J127" i="31"/>
  <c r="J126" i="31"/>
  <c r="C71" i="30" s="1"/>
  <c r="J125" i="31"/>
  <c r="C70" i="30" s="1"/>
  <c r="J124" i="31"/>
  <c r="C69" i="30" s="1"/>
  <c r="J121" i="31"/>
  <c r="C66" i="30" s="1"/>
  <c r="J120" i="31"/>
  <c r="J119" i="31"/>
  <c r="J118" i="31"/>
  <c r="J117" i="31"/>
  <c r="J116" i="31"/>
  <c r="C61" i="30" s="1"/>
  <c r="J115" i="31"/>
  <c r="J114" i="31"/>
  <c r="C59" i="30" s="1"/>
  <c r="J113" i="31"/>
  <c r="C58" i="30" s="1"/>
  <c r="J112" i="31"/>
  <c r="J111" i="31"/>
  <c r="J110" i="31"/>
  <c r="J109" i="31"/>
  <c r="J108" i="31"/>
  <c r="C53" i="30" s="1"/>
  <c r="J107" i="31"/>
  <c r="J106" i="31"/>
  <c r="C51" i="30" s="1"/>
  <c r="J105" i="31"/>
  <c r="C50" i="30" s="1"/>
  <c r="J104" i="31"/>
  <c r="J103" i="31"/>
  <c r="J102" i="31"/>
  <c r="J101" i="31"/>
  <c r="J100" i="31"/>
  <c r="C45" i="30" s="1"/>
  <c r="J99" i="31"/>
  <c r="J98" i="31"/>
  <c r="C43" i="30" s="1"/>
  <c r="J97" i="31"/>
  <c r="C42" i="30" s="1"/>
  <c r="J96" i="31"/>
  <c r="J95" i="31"/>
  <c r="J94" i="31"/>
  <c r="J93" i="31"/>
  <c r="J92" i="31"/>
  <c r="C37" i="30" s="1"/>
  <c r="J91" i="31"/>
  <c r="C36" i="30" s="1"/>
  <c r="J90" i="31"/>
  <c r="C35" i="30" s="1"/>
  <c r="J89" i="31"/>
  <c r="J88" i="31"/>
  <c r="J87" i="31"/>
  <c r="J86" i="31"/>
  <c r="J85" i="31"/>
  <c r="J84" i="31"/>
  <c r="C29" i="30" s="1"/>
  <c r="J83" i="31"/>
  <c r="C28" i="30" s="1"/>
  <c r="J82" i="31"/>
  <c r="C27" i="30" s="1"/>
  <c r="J81" i="31"/>
  <c r="J80" i="31"/>
  <c r="J79" i="31"/>
  <c r="J78" i="31"/>
  <c r="J77" i="31"/>
  <c r="I73" i="31"/>
  <c r="H73" i="31"/>
  <c r="J73" i="31" s="1"/>
  <c r="G73" i="31"/>
  <c r="F73" i="31"/>
  <c r="E73" i="31"/>
  <c r="D73" i="31"/>
  <c r="C73" i="31"/>
  <c r="I70" i="31"/>
  <c r="J70" i="31" s="1"/>
  <c r="C15" i="30" s="1"/>
  <c r="H70" i="31"/>
  <c r="G70" i="31"/>
  <c r="F70" i="31"/>
  <c r="E70" i="31"/>
  <c r="D70" i="31"/>
  <c r="C70" i="31"/>
  <c r="K68" i="31"/>
  <c r="J68" i="31"/>
  <c r="K67" i="31"/>
  <c r="J67" i="31"/>
  <c r="K66" i="31"/>
  <c r="J66" i="31"/>
  <c r="K65" i="31"/>
  <c r="J65" i="31"/>
  <c r="I63" i="31"/>
  <c r="I72" i="31" s="1"/>
  <c r="I74" i="31" s="1"/>
  <c r="I61" i="31"/>
  <c r="J61" i="31" s="1"/>
  <c r="C11" i="30" s="1"/>
  <c r="H61" i="31"/>
  <c r="H63" i="31" s="1"/>
  <c r="G61" i="31"/>
  <c r="G63" i="31" s="1"/>
  <c r="F61" i="31"/>
  <c r="F63" i="31" s="1"/>
  <c r="E61" i="31"/>
  <c r="E63" i="31" s="1"/>
  <c r="D61" i="31"/>
  <c r="D63" i="31" s="1"/>
  <c r="C61" i="31"/>
  <c r="K59" i="31"/>
  <c r="J59" i="31"/>
  <c r="K58" i="31"/>
  <c r="J58" i="31"/>
  <c r="K57" i="31"/>
  <c r="J57" i="31"/>
  <c r="K56" i="31"/>
  <c r="J56" i="31"/>
  <c r="K55" i="31"/>
  <c r="J55" i="31"/>
  <c r="I53" i="31"/>
  <c r="H53" i="31"/>
  <c r="G53" i="31"/>
  <c r="F53" i="31"/>
  <c r="E53" i="31"/>
  <c r="D53" i="31"/>
  <c r="C53" i="31"/>
  <c r="J53" i="31" s="1"/>
  <c r="C9" i="30" s="1"/>
  <c r="K51" i="31"/>
  <c r="J51" i="31"/>
  <c r="K50" i="31"/>
  <c r="J50" i="31"/>
  <c r="K49" i="31"/>
  <c r="J49" i="31"/>
  <c r="K48" i="31"/>
  <c r="J48" i="31"/>
  <c r="K47" i="31"/>
  <c r="J47" i="31"/>
  <c r="K46" i="31"/>
  <c r="J46" i="31"/>
  <c r="K45" i="31"/>
  <c r="J45" i="31"/>
  <c r="K44" i="31"/>
  <c r="J44" i="31"/>
  <c r="K43" i="31"/>
  <c r="J43" i="31"/>
  <c r="I41" i="31"/>
  <c r="H41" i="31"/>
  <c r="G41" i="31"/>
  <c r="F41" i="31"/>
  <c r="E41" i="31"/>
  <c r="J41" i="31" s="1"/>
  <c r="C7" i="30" s="1"/>
  <c r="D41" i="31"/>
  <c r="C41" i="31"/>
  <c r="K39" i="31"/>
  <c r="J39" i="31"/>
  <c r="K38" i="31"/>
  <c r="J38" i="31"/>
  <c r="K37" i="31"/>
  <c r="J37" i="31"/>
  <c r="K36" i="31"/>
  <c r="J36" i="31"/>
  <c r="K35" i="31"/>
  <c r="J35" i="31"/>
  <c r="K34" i="31"/>
  <c r="J34" i="31"/>
  <c r="K33" i="31"/>
  <c r="J33" i="31"/>
  <c r="K32" i="31"/>
  <c r="J32" i="31"/>
  <c r="K31" i="31"/>
  <c r="J31" i="31"/>
  <c r="K30" i="31"/>
  <c r="J30" i="31"/>
  <c r="J28" i="31"/>
  <c r="C5" i="30" s="1"/>
  <c r="I28" i="31"/>
  <c r="H28" i="31"/>
  <c r="G28" i="31"/>
  <c r="F28" i="31"/>
  <c r="E28" i="31"/>
  <c r="D28" i="31"/>
  <c r="C28" i="31"/>
  <c r="K26" i="31"/>
  <c r="J26" i="31"/>
  <c r="K25" i="31"/>
  <c r="J25" i="31"/>
  <c r="K24" i="31"/>
  <c r="J24" i="31"/>
  <c r="K23" i="31"/>
  <c r="J23" i="31"/>
  <c r="K22" i="31"/>
  <c r="J22" i="31"/>
  <c r="K21" i="31"/>
  <c r="J21" i="31"/>
  <c r="K20" i="31"/>
  <c r="J20" i="31"/>
  <c r="K19" i="31"/>
  <c r="J19" i="31"/>
  <c r="K18" i="31"/>
  <c r="J18" i="31"/>
  <c r="K17" i="31"/>
  <c r="J17" i="31"/>
  <c r="K16" i="31"/>
  <c r="J16" i="31"/>
  <c r="K15" i="31"/>
  <c r="J15" i="31"/>
  <c r="K14" i="31"/>
  <c r="J14" i="31"/>
  <c r="K13" i="31"/>
  <c r="J13" i="31"/>
  <c r="K12" i="31"/>
  <c r="J12" i="31"/>
  <c r="K11" i="31"/>
  <c r="L11" i="31" s="1"/>
  <c r="J11" i="31"/>
  <c r="L10" i="31"/>
  <c r="K10" i="31"/>
  <c r="J10" i="31"/>
  <c r="L9" i="31"/>
  <c r="K9" i="31"/>
  <c r="J9" i="31"/>
  <c r="K8" i="31"/>
  <c r="J8" i="31"/>
  <c r="L7" i="31"/>
  <c r="K7" i="31"/>
  <c r="J7" i="31"/>
  <c r="L6" i="31"/>
  <c r="K6" i="31"/>
  <c r="J6" i="31"/>
  <c r="K5" i="31"/>
  <c r="L5" i="31" s="1"/>
  <c r="J5" i="31"/>
  <c r="D156" i="30"/>
  <c r="D155" i="30"/>
  <c r="C155" i="30"/>
  <c r="E155" i="30" s="1"/>
  <c r="C154" i="30"/>
  <c r="C153" i="30"/>
  <c r="E153" i="30" s="1"/>
  <c r="D152" i="30"/>
  <c r="E152" i="30" s="1"/>
  <c r="C152" i="30"/>
  <c r="D151" i="30"/>
  <c r="D150" i="30"/>
  <c r="C150" i="30"/>
  <c r="E150" i="30" s="1"/>
  <c r="D149" i="30"/>
  <c r="D148" i="30"/>
  <c r="D147" i="30"/>
  <c r="C147" i="30"/>
  <c r="E147" i="30" s="1"/>
  <c r="C146" i="30"/>
  <c r="C145" i="30"/>
  <c r="E145" i="30" s="1"/>
  <c r="D144" i="30"/>
  <c r="E144" i="30" s="1"/>
  <c r="C144" i="30"/>
  <c r="D143" i="30"/>
  <c r="D142" i="30"/>
  <c r="C142" i="30"/>
  <c r="E142" i="30" s="1"/>
  <c r="D140" i="30"/>
  <c r="D139" i="30"/>
  <c r="D138" i="30"/>
  <c r="C138" i="30"/>
  <c r="D137" i="30"/>
  <c r="C137" i="30"/>
  <c r="D136" i="30"/>
  <c r="C136" i="30"/>
  <c r="C135" i="30"/>
  <c r="D134" i="30"/>
  <c r="D133" i="30"/>
  <c r="C133" i="30"/>
  <c r="D132" i="30"/>
  <c r="D131" i="30"/>
  <c r="D130" i="30"/>
  <c r="C130" i="30"/>
  <c r="D129" i="30"/>
  <c r="C129" i="30"/>
  <c r="D128" i="30"/>
  <c r="C128" i="30"/>
  <c r="D126" i="30"/>
  <c r="D125" i="30"/>
  <c r="D124" i="30"/>
  <c r="C124" i="30"/>
  <c r="D123" i="30"/>
  <c r="C123" i="30"/>
  <c r="D122" i="30"/>
  <c r="C122" i="30"/>
  <c r="D121" i="30"/>
  <c r="C121" i="30"/>
  <c r="D120" i="30"/>
  <c r="C120" i="30"/>
  <c r="D118" i="30"/>
  <c r="D117" i="30"/>
  <c r="D116" i="30"/>
  <c r="C116" i="30"/>
  <c r="D115" i="30"/>
  <c r="C115" i="30"/>
  <c r="D114" i="30"/>
  <c r="C114" i="30"/>
  <c r="D113" i="30"/>
  <c r="C113" i="30"/>
  <c r="D112" i="30"/>
  <c r="C112" i="30"/>
  <c r="D110" i="30"/>
  <c r="D109" i="30"/>
  <c r="D108" i="30"/>
  <c r="C108" i="30"/>
  <c r="D107" i="30"/>
  <c r="C107" i="30"/>
  <c r="D106" i="30"/>
  <c r="C106" i="30"/>
  <c r="D105" i="30"/>
  <c r="C105" i="30"/>
  <c r="D104" i="30"/>
  <c r="C104" i="30"/>
  <c r="D102" i="30"/>
  <c r="D101" i="30"/>
  <c r="D100" i="30"/>
  <c r="C100" i="30"/>
  <c r="D99" i="30"/>
  <c r="C99" i="30"/>
  <c r="D98" i="30"/>
  <c r="C98" i="30"/>
  <c r="D97" i="30"/>
  <c r="C97" i="30"/>
  <c r="D96" i="30"/>
  <c r="C96" i="30"/>
  <c r="D94" i="30"/>
  <c r="D93" i="30"/>
  <c r="D92" i="30"/>
  <c r="C92" i="30"/>
  <c r="D91" i="30"/>
  <c r="C91" i="30"/>
  <c r="D90" i="30"/>
  <c r="C90" i="30"/>
  <c r="D89" i="30"/>
  <c r="C89" i="30"/>
  <c r="D88" i="30"/>
  <c r="C88" i="30"/>
  <c r="D86" i="30"/>
  <c r="D85" i="30"/>
  <c r="D84" i="30"/>
  <c r="C84" i="30"/>
  <c r="D83" i="30"/>
  <c r="C83" i="30"/>
  <c r="D82" i="30"/>
  <c r="C82" i="30"/>
  <c r="D81" i="30"/>
  <c r="C81" i="30"/>
  <c r="D80" i="30"/>
  <c r="C80" i="30"/>
  <c r="D78" i="30"/>
  <c r="D77" i="30"/>
  <c r="D76" i="30"/>
  <c r="C76" i="30"/>
  <c r="D75" i="30"/>
  <c r="C75" i="30"/>
  <c r="D74" i="30"/>
  <c r="C74" i="30"/>
  <c r="D73" i="30"/>
  <c r="C73" i="30"/>
  <c r="D72" i="30"/>
  <c r="C72" i="30"/>
  <c r="D70" i="30"/>
  <c r="D69" i="30"/>
  <c r="D65" i="30"/>
  <c r="C65" i="30"/>
  <c r="D64" i="30"/>
  <c r="C64" i="30"/>
  <c r="D63" i="30"/>
  <c r="C63" i="30"/>
  <c r="D62" i="30"/>
  <c r="C62" i="30"/>
  <c r="D61" i="30"/>
  <c r="D60" i="30"/>
  <c r="C60" i="30"/>
  <c r="D59" i="30"/>
  <c r="D57" i="30"/>
  <c r="C57" i="30"/>
  <c r="D56" i="30"/>
  <c r="C56" i="30"/>
  <c r="D55" i="30"/>
  <c r="C55" i="30"/>
  <c r="D54" i="30"/>
  <c r="C54" i="30"/>
  <c r="D53" i="30"/>
  <c r="D52" i="30"/>
  <c r="C52" i="30"/>
  <c r="D51" i="30"/>
  <c r="D49" i="30"/>
  <c r="C49" i="30"/>
  <c r="D48" i="30"/>
  <c r="C48" i="30"/>
  <c r="D47" i="30"/>
  <c r="C47" i="30"/>
  <c r="D46" i="30"/>
  <c r="C46" i="30"/>
  <c r="D45" i="30"/>
  <c r="D44" i="30"/>
  <c r="C44" i="30"/>
  <c r="D43" i="30"/>
  <c r="D41" i="30"/>
  <c r="C41" i="30"/>
  <c r="D40" i="30"/>
  <c r="C40" i="30"/>
  <c r="D37" i="30"/>
  <c r="D36" i="30"/>
  <c r="D35" i="30"/>
  <c r="D34" i="30"/>
  <c r="C34" i="30"/>
  <c r="C33" i="30"/>
  <c r="D32" i="30"/>
  <c r="C32" i="30"/>
  <c r="D31" i="30"/>
  <c r="C31" i="30"/>
  <c r="D30" i="30"/>
  <c r="C30" i="30"/>
  <c r="D29" i="30"/>
  <c r="D28" i="30"/>
  <c r="D27" i="30"/>
  <c r="D26" i="30"/>
  <c r="C26" i="30"/>
  <c r="C25" i="30"/>
  <c r="D24" i="30"/>
  <c r="C24" i="30"/>
  <c r="D23" i="30"/>
  <c r="C23" i="30"/>
  <c r="D22" i="30"/>
  <c r="C22" i="30"/>
  <c r="D9" i="30"/>
  <c r="H72" i="31" l="1"/>
  <c r="H74" i="31" s="1"/>
  <c r="D68" i="30"/>
  <c r="C13" i="30"/>
  <c r="C17" i="30" s="1"/>
  <c r="D72" i="31"/>
  <c r="D74" i="31" s="1"/>
  <c r="E9" i="30"/>
  <c r="E72" i="31"/>
  <c r="E74" i="31" s="1"/>
  <c r="C21" i="30"/>
  <c r="C18" i="30" s="1"/>
  <c r="C39" i="30"/>
  <c r="L4" i="31"/>
  <c r="L41" i="31"/>
  <c r="F72" i="31"/>
  <c r="F74" i="31" s="1"/>
  <c r="C68" i="30"/>
  <c r="E15" i="30"/>
  <c r="C147" i="33"/>
  <c r="J147" i="33" s="1"/>
  <c r="J145" i="33"/>
  <c r="D21" i="30"/>
  <c r="D18" i="30" s="1"/>
  <c r="G72" i="31"/>
  <c r="G74" i="31" s="1"/>
  <c r="E7" i="30"/>
  <c r="E11" i="30"/>
  <c r="J63" i="31"/>
  <c r="C63" i="31"/>
  <c r="C72" i="31" s="1"/>
  <c r="D5" i="30"/>
  <c r="J54" i="33"/>
  <c r="J72" i="31" l="1"/>
  <c r="C74" i="31"/>
  <c r="D13" i="30"/>
  <c r="E5" i="30"/>
  <c r="C19" i="30"/>
  <c r="E18" i="30"/>
  <c r="D17" i="30" l="1"/>
  <c r="E13" i="30"/>
  <c r="K72" i="31"/>
  <c r="J74" i="31"/>
  <c r="E17" i="30" l="1"/>
  <c r="D19" i="30"/>
  <c r="E19" i="30" s="1"/>
  <c r="J149" i="28" l="1"/>
  <c r="J146" i="28"/>
  <c r="I144" i="28"/>
  <c r="H144" i="28"/>
  <c r="G144" i="28"/>
  <c r="F144" i="28"/>
  <c r="F145" i="28" s="1"/>
  <c r="F147" i="28" s="1"/>
  <c r="E144" i="28"/>
  <c r="D144" i="28"/>
  <c r="C144" i="28"/>
  <c r="J144" i="28" s="1"/>
  <c r="J143" i="28"/>
  <c r="J142" i="28"/>
  <c r="J141" i="28"/>
  <c r="D156" i="25" s="1"/>
  <c r="J140" i="28"/>
  <c r="J139" i="28"/>
  <c r="D154" i="25" s="1"/>
  <c r="J138" i="28"/>
  <c r="J137" i="28"/>
  <c r="J136" i="28"/>
  <c r="J135" i="28"/>
  <c r="J134" i="28"/>
  <c r="J133" i="28"/>
  <c r="D148" i="25" s="1"/>
  <c r="J132" i="28"/>
  <c r="J131" i="28"/>
  <c r="D146" i="25" s="1"/>
  <c r="J130" i="28"/>
  <c r="J129" i="28"/>
  <c r="J127" i="28"/>
  <c r="J126" i="28"/>
  <c r="J125" i="28"/>
  <c r="J124" i="28"/>
  <c r="D139" i="25" s="1"/>
  <c r="J123" i="28"/>
  <c r="J122" i="28"/>
  <c r="D137" i="25" s="1"/>
  <c r="J121" i="28"/>
  <c r="J120" i="28"/>
  <c r="J119" i="28"/>
  <c r="J118" i="28"/>
  <c r="J117" i="28"/>
  <c r="J116" i="28"/>
  <c r="D131" i="25" s="1"/>
  <c r="J115" i="28"/>
  <c r="J114" i="28"/>
  <c r="D129" i="25" s="1"/>
  <c r="J113" i="28"/>
  <c r="J112" i="28"/>
  <c r="J111" i="28"/>
  <c r="J110" i="28"/>
  <c r="J109" i="28"/>
  <c r="J108" i="28"/>
  <c r="D123" i="25" s="1"/>
  <c r="J107" i="28"/>
  <c r="J106" i="28"/>
  <c r="D121" i="25" s="1"/>
  <c r="J105" i="28"/>
  <c r="J104" i="28"/>
  <c r="J103" i="28"/>
  <c r="J102" i="28"/>
  <c r="J101" i="28"/>
  <c r="J100" i="28"/>
  <c r="D115" i="25" s="1"/>
  <c r="J99" i="28"/>
  <c r="J98" i="28"/>
  <c r="D113" i="25" s="1"/>
  <c r="J97" i="28"/>
  <c r="J96" i="28"/>
  <c r="J95" i="28"/>
  <c r="J94" i="28"/>
  <c r="J93" i="28"/>
  <c r="J92" i="28"/>
  <c r="D107" i="25" s="1"/>
  <c r="J91" i="28"/>
  <c r="J90" i="28"/>
  <c r="D105" i="25" s="1"/>
  <c r="J89" i="28"/>
  <c r="J88" i="28"/>
  <c r="J87" i="28"/>
  <c r="J86" i="28"/>
  <c r="J85" i="28"/>
  <c r="J84" i="28"/>
  <c r="D99" i="25" s="1"/>
  <c r="J83" i="28"/>
  <c r="J82" i="28"/>
  <c r="D97" i="25" s="1"/>
  <c r="J81" i="28"/>
  <c r="J80" i="28"/>
  <c r="J79" i="28"/>
  <c r="J78" i="28"/>
  <c r="J77" i="28"/>
  <c r="J76" i="28"/>
  <c r="D91" i="25" s="1"/>
  <c r="J75" i="28"/>
  <c r="J74" i="28"/>
  <c r="D89" i="25" s="1"/>
  <c r="J73" i="28"/>
  <c r="J72" i="28"/>
  <c r="J71" i="28"/>
  <c r="J70" i="28"/>
  <c r="J69" i="28"/>
  <c r="J68" i="28"/>
  <c r="D83" i="25" s="1"/>
  <c r="J67" i="28"/>
  <c r="J66" i="28"/>
  <c r="D81" i="25" s="1"/>
  <c r="J65" i="28"/>
  <c r="J64" i="28"/>
  <c r="J63" i="28"/>
  <c r="J62" i="28"/>
  <c r="J61" i="28"/>
  <c r="J60" i="28"/>
  <c r="D75" i="25" s="1"/>
  <c r="J59" i="28"/>
  <c r="J58" i="28"/>
  <c r="D73" i="25" s="1"/>
  <c r="D70" i="25" s="1"/>
  <c r="J57" i="28"/>
  <c r="J56" i="28"/>
  <c r="F54" i="28"/>
  <c r="E54" i="28"/>
  <c r="E145" i="28" s="1"/>
  <c r="E147" i="28" s="1"/>
  <c r="D54" i="28"/>
  <c r="D145" i="28" s="1"/>
  <c r="D147" i="28" s="1"/>
  <c r="J53" i="28"/>
  <c r="J52" i="28"/>
  <c r="I51" i="28"/>
  <c r="I54" i="28" s="1"/>
  <c r="I145" i="28" s="1"/>
  <c r="I147" i="28" s="1"/>
  <c r="H51" i="28"/>
  <c r="H54" i="28" s="1"/>
  <c r="H145" i="28" s="1"/>
  <c r="H147" i="28" s="1"/>
  <c r="G51" i="28"/>
  <c r="G54" i="28" s="1"/>
  <c r="G145" i="28" s="1"/>
  <c r="G147" i="28" s="1"/>
  <c r="F51" i="28"/>
  <c r="J51" i="28" s="1"/>
  <c r="E51" i="28"/>
  <c r="D51" i="28"/>
  <c r="C51" i="28"/>
  <c r="C54" i="28" s="1"/>
  <c r="J50" i="28"/>
  <c r="J49" i="28"/>
  <c r="D67" i="25" s="1"/>
  <c r="J48" i="28"/>
  <c r="D66" i="25" s="1"/>
  <c r="J47" i="28"/>
  <c r="D65" i="25" s="1"/>
  <c r="J46" i="28"/>
  <c r="J45" i="28"/>
  <c r="J44" i="28"/>
  <c r="J43" i="28"/>
  <c r="J42" i="28"/>
  <c r="J41" i="28"/>
  <c r="J40" i="28"/>
  <c r="D58" i="25" s="1"/>
  <c r="J39" i="28"/>
  <c r="D57" i="25" s="1"/>
  <c r="J38" i="28"/>
  <c r="J37" i="28"/>
  <c r="J36" i="28"/>
  <c r="J35" i="28"/>
  <c r="J34" i="28"/>
  <c r="J33" i="28"/>
  <c r="J32" i="28"/>
  <c r="D50" i="25" s="1"/>
  <c r="J31" i="28"/>
  <c r="D49" i="25" s="1"/>
  <c r="J30" i="28"/>
  <c r="J29" i="28"/>
  <c r="J28" i="28"/>
  <c r="J27" i="28"/>
  <c r="J26" i="28"/>
  <c r="J25" i="28"/>
  <c r="J24" i="28"/>
  <c r="D42" i="25" s="1"/>
  <c r="J23" i="28"/>
  <c r="D41" i="25" s="1"/>
  <c r="J22" i="28"/>
  <c r="J21" i="28"/>
  <c r="J20" i="28"/>
  <c r="J18" i="28"/>
  <c r="J17" i="28"/>
  <c r="J16" i="28"/>
  <c r="J15" i="28"/>
  <c r="J14" i="28"/>
  <c r="D33" i="25" s="1"/>
  <c r="J13" i="28"/>
  <c r="J12" i="28"/>
  <c r="J11" i="28"/>
  <c r="J10" i="28"/>
  <c r="J9" i="28"/>
  <c r="J8" i="28"/>
  <c r="J7" i="28"/>
  <c r="J6" i="28"/>
  <c r="D25" i="25" s="1"/>
  <c r="J5" i="28"/>
  <c r="J4" i="28"/>
  <c r="J3" i="28"/>
  <c r="G84" i="27"/>
  <c r="C81" i="27"/>
  <c r="B149" i="28" s="1"/>
  <c r="H79" i="27"/>
  <c r="G79" i="27"/>
  <c r="F79" i="27"/>
  <c r="E79" i="27"/>
  <c r="D79" i="27"/>
  <c r="H71" i="27"/>
  <c r="D15" i="25" s="1"/>
  <c r="G71" i="27"/>
  <c r="F71" i="27"/>
  <c r="E71" i="27"/>
  <c r="D71" i="27"/>
  <c r="H67" i="27"/>
  <c r="G67" i="27"/>
  <c r="F67" i="27"/>
  <c r="D11" i="25" s="1"/>
  <c r="E67" i="27"/>
  <c r="D67" i="27"/>
  <c r="H57" i="27"/>
  <c r="G57" i="27"/>
  <c r="F57" i="27"/>
  <c r="E57" i="27"/>
  <c r="D57" i="27"/>
  <c r="H49" i="27"/>
  <c r="D7" i="25" s="1"/>
  <c r="G49" i="27"/>
  <c r="G74" i="27" s="1"/>
  <c r="F49" i="27"/>
  <c r="E49" i="27"/>
  <c r="D49" i="27"/>
  <c r="H33" i="27"/>
  <c r="H74" i="27" s="1"/>
  <c r="G33" i="27"/>
  <c r="F33" i="27"/>
  <c r="F74" i="27" s="1"/>
  <c r="E33" i="27"/>
  <c r="E74" i="27" s="1"/>
  <c r="D33" i="27"/>
  <c r="D74" i="27" s="1"/>
  <c r="T211" i="26"/>
  <c r="T210" i="26"/>
  <c r="T209" i="26"/>
  <c r="T208" i="26"/>
  <c r="T207" i="26"/>
  <c r="T206" i="26"/>
  <c r="C154" i="25" s="1"/>
  <c r="T205" i="26"/>
  <c r="C153" i="25" s="1"/>
  <c r="T204" i="26"/>
  <c r="C152" i="25" s="1"/>
  <c r="T203" i="26"/>
  <c r="T202" i="26"/>
  <c r="T201" i="26"/>
  <c r="T200" i="26"/>
  <c r="T199" i="26"/>
  <c r="T198" i="26"/>
  <c r="C146" i="25" s="1"/>
  <c r="T197" i="26"/>
  <c r="C145" i="25" s="1"/>
  <c r="T196" i="26"/>
  <c r="C144" i="25" s="1"/>
  <c r="T195" i="26"/>
  <c r="T194" i="26"/>
  <c r="T193" i="26"/>
  <c r="T192" i="26"/>
  <c r="T191" i="26"/>
  <c r="T190" i="26"/>
  <c r="T189" i="26"/>
  <c r="C137" i="25" s="1"/>
  <c r="T188" i="26"/>
  <c r="C136" i="25" s="1"/>
  <c r="T187" i="26"/>
  <c r="T186" i="26"/>
  <c r="T185" i="26"/>
  <c r="T184" i="26"/>
  <c r="T183" i="26"/>
  <c r="T182" i="26"/>
  <c r="T181" i="26"/>
  <c r="T180" i="26"/>
  <c r="C129" i="25" s="1"/>
  <c r="T179" i="26"/>
  <c r="T178" i="26"/>
  <c r="T177" i="26"/>
  <c r="T176" i="26"/>
  <c r="T175" i="26"/>
  <c r="T174" i="26"/>
  <c r="T173" i="26"/>
  <c r="T172" i="26"/>
  <c r="C121" i="25" s="1"/>
  <c r="T171" i="26"/>
  <c r="T170" i="26"/>
  <c r="T169" i="26"/>
  <c r="T168" i="26"/>
  <c r="T167" i="26"/>
  <c r="T166" i="26"/>
  <c r="T165" i="26"/>
  <c r="T164" i="26"/>
  <c r="C113" i="25" s="1"/>
  <c r="T163" i="26"/>
  <c r="T162" i="26"/>
  <c r="T161" i="26"/>
  <c r="T160" i="26"/>
  <c r="T159" i="26"/>
  <c r="T158" i="26"/>
  <c r="T157" i="26"/>
  <c r="T156" i="26"/>
  <c r="C105" i="25" s="1"/>
  <c r="T155" i="26"/>
  <c r="T154" i="26"/>
  <c r="T153" i="26"/>
  <c r="T152" i="26"/>
  <c r="T151" i="26"/>
  <c r="T150" i="26"/>
  <c r="T149" i="26"/>
  <c r="T148" i="26"/>
  <c r="C97" i="25" s="1"/>
  <c r="T147" i="26"/>
  <c r="T146" i="26"/>
  <c r="T145" i="26"/>
  <c r="T144" i="26"/>
  <c r="T143" i="26"/>
  <c r="T142" i="26"/>
  <c r="T141" i="26"/>
  <c r="T140" i="26"/>
  <c r="C89" i="25" s="1"/>
  <c r="T139" i="26"/>
  <c r="T138" i="26"/>
  <c r="T137" i="26"/>
  <c r="T136" i="26"/>
  <c r="T135" i="26"/>
  <c r="T134" i="26"/>
  <c r="T133" i="26"/>
  <c r="T132" i="26"/>
  <c r="C81" i="25" s="1"/>
  <c r="T131" i="26"/>
  <c r="T130" i="26"/>
  <c r="T129" i="26"/>
  <c r="T128" i="26"/>
  <c r="T127" i="26"/>
  <c r="T126" i="26"/>
  <c r="T125" i="26"/>
  <c r="T124" i="26"/>
  <c r="C73" i="25" s="1"/>
  <c r="T123" i="26"/>
  <c r="T122" i="26"/>
  <c r="T119" i="26"/>
  <c r="T118" i="26"/>
  <c r="T117" i="26"/>
  <c r="T116" i="26"/>
  <c r="C62" i="25" s="1"/>
  <c r="T115" i="26"/>
  <c r="C61" i="25" s="1"/>
  <c r="T114" i="26"/>
  <c r="C60" i="25" s="1"/>
  <c r="T113" i="26"/>
  <c r="T112" i="26"/>
  <c r="T111" i="26"/>
  <c r="T110" i="26"/>
  <c r="T109" i="26"/>
  <c r="T108" i="26"/>
  <c r="C54" i="25" s="1"/>
  <c r="T107" i="26"/>
  <c r="C53" i="25" s="1"/>
  <c r="T106" i="26"/>
  <c r="C52" i="25" s="1"/>
  <c r="T105" i="26"/>
  <c r="T104" i="26"/>
  <c r="T103" i="26"/>
  <c r="T102" i="26"/>
  <c r="T101" i="26"/>
  <c r="T100" i="26"/>
  <c r="C46" i="25" s="1"/>
  <c r="T99" i="26"/>
  <c r="C45" i="25" s="1"/>
  <c r="T98" i="26"/>
  <c r="C44" i="25" s="1"/>
  <c r="T97" i="26"/>
  <c r="T96" i="26"/>
  <c r="T95" i="26"/>
  <c r="T94" i="26"/>
  <c r="T93" i="26"/>
  <c r="C90" i="26"/>
  <c r="T90" i="26" s="1"/>
  <c r="C36" i="25" s="1"/>
  <c r="T89" i="26"/>
  <c r="C35" i="25" s="1"/>
  <c r="C89" i="26"/>
  <c r="C71" i="26" s="1"/>
  <c r="T71" i="26" s="1"/>
  <c r="T88" i="26"/>
  <c r="T87" i="26"/>
  <c r="T86" i="26"/>
  <c r="T85" i="26"/>
  <c r="T84" i="26"/>
  <c r="T83" i="26"/>
  <c r="C30" i="25" s="1"/>
  <c r="T82" i="26"/>
  <c r="C29" i="25" s="1"/>
  <c r="T81" i="26"/>
  <c r="H81" i="26"/>
  <c r="G81" i="26"/>
  <c r="T80" i="26"/>
  <c r="G80" i="26"/>
  <c r="T79" i="26"/>
  <c r="C26" i="25" s="1"/>
  <c r="T78" i="26"/>
  <c r="C25" i="25" s="1"/>
  <c r="T77" i="26"/>
  <c r="C24" i="25" s="1"/>
  <c r="T76" i="26"/>
  <c r="L76" i="26"/>
  <c r="H76" i="26"/>
  <c r="G76" i="26"/>
  <c r="H75" i="26"/>
  <c r="G75" i="26"/>
  <c r="T75" i="26" s="1"/>
  <c r="C22" i="25" s="1"/>
  <c r="C21" i="25" s="1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S68" i="26"/>
  <c r="R68" i="26"/>
  <c r="Q68" i="26"/>
  <c r="P68" i="26"/>
  <c r="O68" i="26"/>
  <c r="N68" i="26"/>
  <c r="N70" i="26" s="1"/>
  <c r="N72" i="26" s="1"/>
  <c r="M68" i="26"/>
  <c r="M70" i="26" s="1"/>
  <c r="M72" i="26" s="1"/>
  <c r="L68" i="26"/>
  <c r="L70" i="26" s="1"/>
  <c r="L72" i="26" s="1"/>
  <c r="K68" i="26"/>
  <c r="J68" i="26"/>
  <c r="I68" i="26"/>
  <c r="H68" i="26"/>
  <c r="G68" i="26"/>
  <c r="F68" i="26"/>
  <c r="F70" i="26" s="1"/>
  <c r="F72" i="26" s="1"/>
  <c r="E68" i="26"/>
  <c r="E70" i="26" s="1"/>
  <c r="E72" i="26" s="1"/>
  <c r="D68" i="26"/>
  <c r="D70" i="26" s="1"/>
  <c r="D72" i="26" s="1"/>
  <c r="C68" i="26"/>
  <c r="U66" i="26"/>
  <c r="T66" i="26"/>
  <c r="U65" i="26"/>
  <c r="T65" i="26"/>
  <c r="U64" i="26"/>
  <c r="T64" i="26"/>
  <c r="U63" i="26"/>
  <c r="T63" i="26"/>
  <c r="S59" i="26"/>
  <c r="S61" i="26" s="1"/>
  <c r="R59" i="26"/>
  <c r="R61" i="26" s="1"/>
  <c r="R70" i="26" s="1"/>
  <c r="R72" i="26" s="1"/>
  <c r="Q59" i="26"/>
  <c r="Q61" i="26" s="1"/>
  <c r="Q70" i="26" s="1"/>
  <c r="Q72" i="26" s="1"/>
  <c r="P59" i="26"/>
  <c r="P61" i="26" s="1"/>
  <c r="P70" i="26" s="1"/>
  <c r="P72" i="26" s="1"/>
  <c r="O59" i="26"/>
  <c r="N59" i="26"/>
  <c r="M59" i="26"/>
  <c r="L59" i="26"/>
  <c r="K59" i="26"/>
  <c r="K61" i="26" s="1"/>
  <c r="J59" i="26"/>
  <c r="J61" i="26" s="1"/>
  <c r="J70" i="26" s="1"/>
  <c r="J72" i="26" s="1"/>
  <c r="I59" i="26"/>
  <c r="I61" i="26" s="1"/>
  <c r="I70" i="26" s="1"/>
  <c r="I72" i="26" s="1"/>
  <c r="H59" i="26"/>
  <c r="H61" i="26" s="1"/>
  <c r="H70" i="26" s="1"/>
  <c r="H72" i="26" s="1"/>
  <c r="G59" i="26"/>
  <c r="G61" i="26" s="1"/>
  <c r="F59" i="26"/>
  <c r="E59" i="26"/>
  <c r="D59" i="26"/>
  <c r="C59" i="26"/>
  <c r="C61" i="26" s="1"/>
  <c r="U57" i="26"/>
  <c r="T57" i="26"/>
  <c r="U56" i="26"/>
  <c r="T56" i="26"/>
  <c r="O56" i="26"/>
  <c r="U55" i="26"/>
  <c r="T55" i="26"/>
  <c r="U54" i="26"/>
  <c r="T54" i="26"/>
  <c r="S52" i="26"/>
  <c r="R52" i="26"/>
  <c r="Q52" i="26"/>
  <c r="P52" i="26"/>
  <c r="N52" i="26"/>
  <c r="M52" i="26"/>
  <c r="L52" i="26"/>
  <c r="L61" i="26" s="1"/>
  <c r="K52" i="26"/>
  <c r="J52" i="26"/>
  <c r="I52" i="26"/>
  <c r="H52" i="26"/>
  <c r="G52" i="26"/>
  <c r="F52" i="26"/>
  <c r="E52" i="26"/>
  <c r="D52" i="26"/>
  <c r="D61" i="26" s="1"/>
  <c r="C52" i="26"/>
  <c r="U50" i="26"/>
  <c r="T50" i="26"/>
  <c r="O50" i="26"/>
  <c r="O52" i="26" s="1"/>
  <c r="U49" i="26"/>
  <c r="T49" i="26"/>
  <c r="U48" i="26"/>
  <c r="T48" i="26"/>
  <c r="U47" i="26"/>
  <c r="T47" i="26"/>
  <c r="U46" i="26"/>
  <c r="T46" i="26"/>
  <c r="U45" i="26"/>
  <c r="T45" i="26"/>
  <c r="U44" i="26"/>
  <c r="T44" i="26"/>
  <c r="U43" i="26"/>
  <c r="T43" i="26"/>
  <c r="S41" i="26"/>
  <c r="R41" i="26"/>
  <c r="Q41" i="26"/>
  <c r="P41" i="26"/>
  <c r="O41" i="26"/>
  <c r="N41" i="26"/>
  <c r="N61" i="26" s="1"/>
  <c r="M41" i="26"/>
  <c r="M61" i="26" s="1"/>
  <c r="L41" i="26"/>
  <c r="K41" i="26"/>
  <c r="J41" i="26"/>
  <c r="I41" i="26"/>
  <c r="H41" i="26"/>
  <c r="G41" i="26"/>
  <c r="F41" i="26"/>
  <c r="F61" i="26" s="1"/>
  <c r="E41" i="26"/>
  <c r="E61" i="26" s="1"/>
  <c r="D41" i="26"/>
  <c r="T41" i="26" s="1"/>
  <c r="C7" i="25" s="1"/>
  <c r="C41" i="26"/>
  <c r="U39" i="26"/>
  <c r="T39" i="26"/>
  <c r="U38" i="26"/>
  <c r="T38" i="26"/>
  <c r="U37" i="26"/>
  <c r="T37" i="26"/>
  <c r="U36" i="26"/>
  <c r="T36" i="26"/>
  <c r="U35" i="26"/>
  <c r="T35" i="26"/>
  <c r="O35" i="26"/>
  <c r="U34" i="26"/>
  <c r="T34" i="26"/>
  <c r="U33" i="26"/>
  <c r="T33" i="26"/>
  <c r="U32" i="26"/>
  <c r="T32" i="26"/>
  <c r="U31" i="26"/>
  <c r="T31" i="26"/>
  <c r="U30" i="26"/>
  <c r="T30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T28" i="26" s="1"/>
  <c r="U26" i="26"/>
  <c r="T26" i="26"/>
  <c r="U25" i="26"/>
  <c r="T25" i="26"/>
  <c r="U24" i="26"/>
  <c r="T24" i="26"/>
  <c r="U23" i="26"/>
  <c r="T23" i="26"/>
  <c r="U22" i="26"/>
  <c r="T22" i="26"/>
  <c r="U21" i="26"/>
  <c r="T21" i="26"/>
  <c r="U20" i="26"/>
  <c r="T20" i="26"/>
  <c r="U19" i="26"/>
  <c r="T19" i="26"/>
  <c r="U18" i="26"/>
  <c r="T18" i="26"/>
  <c r="U17" i="26"/>
  <c r="T17" i="26"/>
  <c r="U16" i="26"/>
  <c r="T16" i="26"/>
  <c r="U15" i="26"/>
  <c r="T15" i="26"/>
  <c r="U14" i="26"/>
  <c r="T14" i="26"/>
  <c r="U13" i="26"/>
  <c r="T13" i="26"/>
  <c r="U12" i="26"/>
  <c r="T12" i="26"/>
  <c r="U11" i="26"/>
  <c r="V11" i="26" s="1"/>
  <c r="T11" i="26"/>
  <c r="U10" i="26"/>
  <c r="V10" i="26" s="1"/>
  <c r="T10" i="26"/>
  <c r="V9" i="26"/>
  <c r="U9" i="26"/>
  <c r="T9" i="26"/>
  <c r="U8" i="26"/>
  <c r="T8" i="26"/>
  <c r="U7" i="26"/>
  <c r="V7" i="26" s="1"/>
  <c r="T7" i="26"/>
  <c r="V6" i="26"/>
  <c r="U6" i="26"/>
  <c r="T6" i="26"/>
  <c r="U5" i="26"/>
  <c r="V5" i="26" s="1"/>
  <c r="T5" i="26"/>
  <c r="D159" i="25"/>
  <c r="B159" i="25"/>
  <c r="D158" i="25"/>
  <c r="C158" i="25"/>
  <c r="D157" i="25"/>
  <c r="C157" i="25"/>
  <c r="C156" i="25"/>
  <c r="D155" i="25"/>
  <c r="C155" i="25"/>
  <c r="D153" i="25"/>
  <c r="D152" i="25"/>
  <c r="D151" i="25"/>
  <c r="C151" i="25"/>
  <c r="D150" i="25"/>
  <c r="C150" i="25"/>
  <c r="D149" i="25"/>
  <c r="C149" i="25"/>
  <c r="C148" i="25"/>
  <c r="D147" i="25"/>
  <c r="C147" i="25"/>
  <c r="D145" i="25"/>
  <c r="D144" i="25"/>
  <c r="D142" i="25"/>
  <c r="C142" i="25"/>
  <c r="D141" i="25"/>
  <c r="C141" i="25"/>
  <c r="D140" i="25"/>
  <c r="C140" i="25"/>
  <c r="C139" i="25"/>
  <c r="D138" i="25"/>
  <c r="C138" i="25"/>
  <c r="D136" i="25"/>
  <c r="D135" i="25"/>
  <c r="C135" i="25"/>
  <c r="D134" i="25"/>
  <c r="C134" i="25"/>
  <c r="D133" i="25"/>
  <c r="C133" i="25"/>
  <c r="D132" i="25"/>
  <c r="C132" i="25"/>
  <c r="C131" i="25"/>
  <c r="D130" i="25"/>
  <c r="C130" i="25"/>
  <c r="D128" i="25"/>
  <c r="C128" i="25"/>
  <c r="D127" i="25"/>
  <c r="C127" i="25"/>
  <c r="D126" i="25"/>
  <c r="C126" i="25"/>
  <c r="D125" i="25"/>
  <c r="C125" i="25"/>
  <c r="D124" i="25"/>
  <c r="C124" i="25"/>
  <c r="C123" i="25"/>
  <c r="D122" i="25"/>
  <c r="C122" i="25"/>
  <c r="D120" i="25"/>
  <c r="C120" i="25"/>
  <c r="D119" i="25"/>
  <c r="C119" i="25"/>
  <c r="D118" i="25"/>
  <c r="C118" i="25"/>
  <c r="D117" i="25"/>
  <c r="C117" i="25"/>
  <c r="D116" i="25"/>
  <c r="C116" i="25"/>
  <c r="C115" i="25"/>
  <c r="D114" i="25"/>
  <c r="C114" i="25"/>
  <c r="D112" i="25"/>
  <c r="C112" i="25"/>
  <c r="D111" i="25"/>
  <c r="C111" i="25"/>
  <c r="D110" i="25"/>
  <c r="C110" i="25"/>
  <c r="D109" i="25"/>
  <c r="C109" i="25"/>
  <c r="D108" i="25"/>
  <c r="C108" i="25"/>
  <c r="C107" i="25"/>
  <c r="D106" i="25"/>
  <c r="C106" i="25"/>
  <c r="D104" i="25"/>
  <c r="C104" i="25"/>
  <c r="D103" i="25"/>
  <c r="C103" i="25"/>
  <c r="D102" i="25"/>
  <c r="C102" i="25"/>
  <c r="D101" i="25"/>
  <c r="C101" i="25"/>
  <c r="D100" i="25"/>
  <c r="C100" i="25"/>
  <c r="C99" i="25"/>
  <c r="D98" i="25"/>
  <c r="C98" i="25"/>
  <c r="D96" i="25"/>
  <c r="C96" i="25"/>
  <c r="D95" i="25"/>
  <c r="C95" i="25"/>
  <c r="D94" i="25"/>
  <c r="C94" i="25"/>
  <c r="D93" i="25"/>
  <c r="C93" i="25"/>
  <c r="D92" i="25"/>
  <c r="C92" i="25"/>
  <c r="C91" i="25"/>
  <c r="D90" i="25"/>
  <c r="C90" i="25"/>
  <c r="D88" i="25"/>
  <c r="C88" i="25"/>
  <c r="D87" i="25"/>
  <c r="C87" i="25"/>
  <c r="D86" i="25"/>
  <c r="C86" i="25"/>
  <c r="D85" i="25"/>
  <c r="C85" i="25"/>
  <c r="D84" i="25"/>
  <c r="C84" i="25"/>
  <c r="C83" i="25"/>
  <c r="D82" i="25"/>
  <c r="C82" i="25"/>
  <c r="D80" i="25"/>
  <c r="C80" i="25"/>
  <c r="D79" i="25"/>
  <c r="C79" i="25"/>
  <c r="D78" i="25"/>
  <c r="C78" i="25"/>
  <c r="D77" i="25"/>
  <c r="C77" i="25"/>
  <c r="D76" i="25"/>
  <c r="C76" i="25"/>
  <c r="C75" i="25"/>
  <c r="D74" i="25"/>
  <c r="C74" i="25"/>
  <c r="D72" i="25"/>
  <c r="C72" i="25"/>
  <c r="D71" i="25"/>
  <c r="C71" i="25"/>
  <c r="D68" i="25"/>
  <c r="C65" i="25"/>
  <c r="D64" i="25"/>
  <c r="C64" i="25"/>
  <c r="D63" i="25"/>
  <c r="C63" i="25"/>
  <c r="D62" i="25"/>
  <c r="D61" i="25"/>
  <c r="D60" i="25"/>
  <c r="D59" i="25"/>
  <c r="C59" i="25"/>
  <c r="C58" i="25"/>
  <c r="C57" i="25"/>
  <c r="D56" i="25"/>
  <c r="C56" i="25"/>
  <c r="D55" i="25"/>
  <c r="C55" i="25"/>
  <c r="D54" i="25"/>
  <c r="D53" i="25"/>
  <c r="D52" i="25"/>
  <c r="D51" i="25"/>
  <c r="C51" i="25"/>
  <c r="C50" i="25"/>
  <c r="C49" i="25"/>
  <c r="D48" i="25"/>
  <c r="C48" i="25"/>
  <c r="D47" i="25"/>
  <c r="C47" i="25"/>
  <c r="D46" i="25"/>
  <c r="D45" i="25"/>
  <c r="D44" i="25"/>
  <c r="D43" i="25"/>
  <c r="C43" i="25"/>
  <c r="C42" i="25"/>
  <c r="C41" i="25"/>
  <c r="D40" i="25"/>
  <c r="C40" i="25"/>
  <c r="D39" i="25"/>
  <c r="C39" i="25"/>
  <c r="C38" i="25" s="1"/>
  <c r="D36" i="25"/>
  <c r="D35" i="25"/>
  <c r="D34" i="25"/>
  <c r="C34" i="25"/>
  <c r="C33" i="25"/>
  <c r="D32" i="25"/>
  <c r="C32" i="25"/>
  <c r="D31" i="25"/>
  <c r="C31" i="25"/>
  <c r="D30" i="25"/>
  <c r="D29" i="25"/>
  <c r="D28" i="25"/>
  <c r="C28" i="25"/>
  <c r="D27" i="25"/>
  <c r="C27" i="25"/>
  <c r="D26" i="25"/>
  <c r="D24" i="25"/>
  <c r="D23" i="25"/>
  <c r="C23" i="25"/>
  <c r="D22" i="25"/>
  <c r="D9" i="25"/>
  <c r="V28" i="26" l="1"/>
  <c r="V4" i="26"/>
  <c r="D21" i="25"/>
  <c r="G70" i="26"/>
  <c r="G72" i="26" s="1"/>
  <c r="W28" i="26"/>
  <c r="C5" i="25"/>
  <c r="T52" i="26"/>
  <c r="C9" i="25" s="1"/>
  <c r="E9" i="25" s="1"/>
  <c r="C70" i="25"/>
  <c r="E7" i="25"/>
  <c r="E11" i="25"/>
  <c r="C18" i="25"/>
  <c r="O61" i="26"/>
  <c r="O70" i="26"/>
  <c r="O72" i="26" s="1"/>
  <c r="C145" i="28"/>
  <c r="J54" i="28"/>
  <c r="D38" i="25"/>
  <c r="C70" i="26"/>
  <c r="K70" i="26"/>
  <c r="K72" i="26" s="1"/>
  <c r="S70" i="26"/>
  <c r="S72" i="26" s="1"/>
  <c r="D5" i="25"/>
  <c r="T68" i="26"/>
  <c r="C15" i="25" s="1"/>
  <c r="E15" i="25" s="1"/>
  <c r="T59" i="26"/>
  <c r="C11" i="25" s="1"/>
  <c r="C13" i="25" l="1"/>
  <c r="C17" i="25" s="1"/>
  <c r="C19" i="25" s="1"/>
  <c r="C72" i="26"/>
  <c r="T70" i="26"/>
  <c r="D13" i="25"/>
  <c r="E5" i="25"/>
  <c r="D18" i="25"/>
  <c r="E18" i="25" s="1"/>
  <c r="T61" i="26"/>
  <c r="C147" i="28"/>
  <c r="J147" i="28" s="1"/>
  <c r="J145" i="28"/>
  <c r="E13" i="25" l="1"/>
  <c r="D17" i="25"/>
  <c r="T72" i="26"/>
  <c r="U70" i="26"/>
  <c r="E17" i="25" l="1"/>
  <c r="D19" i="25"/>
  <c r="E19" i="25" s="1"/>
  <c r="J152" i="23" l="1"/>
  <c r="J148" i="23"/>
  <c r="I146" i="23"/>
  <c r="H146" i="23"/>
  <c r="G146" i="23"/>
  <c r="F146" i="23"/>
  <c r="E146" i="23"/>
  <c r="D146" i="23"/>
  <c r="C146" i="23"/>
  <c r="J146" i="23" s="1"/>
  <c r="J145" i="23"/>
  <c r="J144" i="23"/>
  <c r="J143" i="23"/>
  <c r="D155" i="20" s="1"/>
  <c r="J142" i="23"/>
  <c r="D154" i="20" s="1"/>
  <c r="J141" i="23"/>
  <c r="D153" i="20" s="1"/>
  <c r="J140" i="23"/>
  <c r="J139" i="23"/>
  <c r="J138" i="23"/>
  <c r="J137" i="23"/>
  <c r="J136" i="23"/>
  <c r="J135" i="23"/>
  <c r="D147" i="20" s="1"/>
  <c r="J134" i="23"/>
  <c r="D146" i="20" s="1"/>
  <c r="J133" i="23"/>
  <c r="D145" i="20" s="1"/>
  <c r="J132" i="23"/>
  <c r="J131" i="23"/>
  <c r="J129" i="23"/>
  <c r="J128" i="23"/>
  <c r="J127" i="23"/>
  <c r="J126" i="23"/>
  <c r="D138" i="20" s="1"/>
  <c r="J125" i="23"/>
  <c r="D137" i="20" s="1"/>
  <c r="J124" i="23"/>
  <c r="D136" i="20" s="1"/>
  <c r="J123" i="23"/>
  <c r="J122" i="23"/>
  <c r="J121" i="23"/>
  <c r="J120" i="23"/>
  <c r="J119" i="23"/>
  <c r="J118" i="23"/>
  <c r="D130" i="20" s="1"/>
  <c r="J117" i="23"/>
  <c r="D129" i="20" s="1"/>
  <c r="J116" i="23"/>
  <c r="D128" i="20" s="1"/>
  <c r="J115" i="23"/>
  <c r="J114" i="23"/>
  <c r="J113" i="23"/>
  <c r="J112" i="23"/>
  <c r="J111" i="23"/>
  <c r="J110" i="23"/>
  <c r="D122" i="20" s="1"/>
  <c r="J109" i="23"/>
  <c r="D121" i="20" s="1"/>
  <c r="J108" i="23"/>
  <c r="D120" i="20" s="1"/>
  <c r="J107" i="23"/>
  <c r="J106" i="23"/>
  <c r="J105" i="23"/>
  <c r="J104" i="23"/>
  <c r="J103" i="23"/>
  <c r="J102" i="23"/>
  <c r="D114" i="20" s="1"/>
  <c r="J101" i="23"/>
  <c r="D113" i="20" s="1"/>
  <c r="J100" i="23"/>
  <c r="D112" i="20" s="1"/>
  <c r="J99" i="23"/>
  <c r="J98" i="23"/>
  <c r="J97" i="23"/>
  <c r="J96" i="23"/>
  <c r="J95" i="23"/>
  <c r="J94" i="23"/>
  <c r="D106" i="20" s="1"/>
  <c r="J93" i="23"/>
  <c r="D105" i="20" s="1"/>
  <c r="J92" i="23"/>
  <c r="D104" i="20" s="1"/>
  <c r="J91" i="23"/>
  <c r="J90" i="23"/>
  <c r="J89" i="23"/>
  <c r="J88" i="23"/>
  <c r="J87" i="23"/>
  <c r="J86" i="23"/>
  <c r="D98" i="20" s="1"/>
  <c r="J85" i="23"/>
  <c r="D97" i="20" s="1"/>
  <c r="J84" i="23"/>
  <c r="D96" i="20" s="1"/>
  <c r="J83" i="23"/>
  <c r="J82" i="23"/>
  <c r="J81" i="23"/>
  <c r="J80" i="23"/>
  <c r="J79" i="23"/>
  <c r="J78" i="23"/>
  <c r="D90" i="20" s="1"/>
  <c r="J77" i="23"/>
  <c r="D89" i="20" s="1"/>
  <c r="J76" i="23"/>
  <c r="D88" i="20" s="1"/>
  <c r="J75" i="23"/>
  <c r="J74" i="23"/>
  <c r="J73" i="23"/>
  <c r="J72" i="23"/>
  <c r="J71" i="23"/>
  <c r="J70" i="23"/>
  <c r="D82" i="20" s="1"/>
  <c r="J69" i="23"/>
  <c r="D81" i="20" s="1"/>
  <c r="J68" i="23"/>
  <c r="D80" i="20" s="1"/>
  <c r="J67" i="23"/>
  <c r="J66" i="23"/>
  <c r="J65" i="23"/>
  <c r="J64" i="23"/>
  <c r="J63" i="23"/>
  <c r="J62" i="23"/>
  <c r="D74" i="20" s="1"/>
  <c r="J61" i="23"/>
  <c r="D73" i="20" s="1"/>
  <c r="J60" i="23"/>
  <c r="D72" i="20" s="1"/>
  <c r="D68" i="20" s="1"/>
  <c r="J59" i="23"/>
  <c r="J58" i="23"/>
  <c r="J57" i="23"/>
  <c r="G55" i="23"/>
  <c r="G147" i="23" s="1"/>
  <c r="G149" i="23" s="1"/>
  <c r="F55" i="23"/>
  <c r="F147" i="23" s="1"/>
  <c r="F149" i="23" s="1"/>
  <c r="E55" i="23"/>
  <c r="E147" i="23" s="1"/>
  <c r="E149" i="23" s="1"/>
  <c r="D55" i="23"/>
  <c r="D147" i="23" s="1"/>
  <c r="D149" i="23" s="1"/>
  <c r="J54" i="23"/>
  <c r="J53" i="23"/>
  <c r="I52" i="23"/>
  <c r="I55" i="23" s="1"/>
  <c r="I147" i="23" s="1"/>
  <c r="I149" i="23" s="1"/>
  <c r="H52" i="23"/>
  <c r="H55" i="23" s="1"/>
  <c r="H147" i="23" s="1"/>
  <c r="H149" i="23" s="1"/>
  <c r="G52" i="23"/>
  <c r="F52" i="23"/>
  <c r="E52" i="23"/>
  <c r="D52" i="23"/>
  <c r="C52" i="23"/>
  <c r="C55" i="23" s="1"/>
  <c r="J51" i="23"/>
  <c r="J50" i="23"/>
  <c r="J49" i="23"/>
  <c r="J48" i="23"/>
  <c r="J47" i="23"/>
  <c r="J46" i="23"/>
  <c r="H46" i="23"/>
  <c r="J45" i="23"/>
  <c r="J44" i="23"/>
  <c r="J43" i="23"/>
  <c r="D61" i="20" s="1"/>
  <c r="J42" i="23"/>
  <c r="D60" i="20" s="1"/>
  <c r="J41" i="23"/>
  <c r="J40" i="23"/>
  <c r="J39" i="23"/>
  <c r="J38" i="23"/>
  <c r="J37" i="23"/>
  <c r="J36" i="23"/>
  <c r="J35" i="23"/>
  <c r="D53" i="20" s="1"/>
  <c r="J34" i="23"/>
  <c r="D52" i="20" s="1"/>
  <c r="J33" i="23"/>
  <c r="J32" i="23"/>
  <c r="J31" i="23"/>
  <c r="J30" i="23"/>
  <c r="J29" i="23"/>
  <c r="J28" i="23"/>
  <c r="J27" i="23"/>
  <c r="D45" i="20" s="1"/>
  <c r="J26" i="23"/>
  <c r="D44" i="20" s="1"/>
  <c r="J25" i="23"/>
  <c r="J24" i="23"/>
  <c r="J23" i="23"/>
  <c r="J22" i="23"/>
  <c r="J21" i="23"/>
  <c r="J19" i="23"/>
  <c r="J18" i="23"/>
  <c r="D37" i="20" s="1"/>
  <c r="J17" i="23"/>
  <c r="D36" i="20" s="1"/>
  <c r="J16" i="23"/>
  <c r="J15" i="23"/>
  <c r="J14" i="23"/>
  <c r="J13" i="23"/>
  <c r="J12" i="23"/>
  <c r="J11" i="23"/>
  <c r="J10" i="23"/>
  <c r="D29" i="20" s="1"/>
  <c r="J9" i="23"/>
  <c r="D28" i="20" s="1"/>
  <c r="J8" i="23"/>
  <c r="J7" i="23"/>
  <c r="J6" i="23"/>
  <c r="J5" i="23"/>
  <c r="J4" i="23"/>
  <c r="J3" i="23"/>
  <c r="G82" i="22"/>
  <c r="C81" i="22"/>
  <c r="B151" i="23" s="1"/>
  <c r="H79" i="22"/>
  <c r="G79" i="22"/>
  <c r="F79" i="22"/>
  <c r="E79" i="22"/>
  <c r="D79" i="22"/>
  <c r="G74" i="22"/>
  <c r="H71" i="22"/>
  <c r="G71" i="22"/>
  <c r="F71" i="22"/>
  <c r="D15" i="20" s="1"/>
  <c r="E71" i="22"/>
  <c r="D71" i="22"/>
  <c r="H67" i="22"/>
  <c r="G67" i="22"/>
  <c r="F67" i="22"/>
  <c r="E67" i="22"/>
  <c r="D67" i="22"/>
  <c r="H57" i="22"/>
  <c r="G57" i="22"/>
  <c r="F57" i="22"/>
  <c r="F74" i="22" s="1"/>
  <c r="E57" i="22"/>
  <c r="D57" i="22"/>
  <c r="H49" i="22"/>
  <c r="G49" i="22"/>
  <c r="F49" i="22"/>
  <c r="E49" i="22"/>
  <c r="D49" i="22"/>
  <c r="H33" i="22"/>
  <c r="D5" i="20" s="1"/>
  <c r="G33" i="22"/>
  <c r="F33" i="22"/>
  <c r="E33" i="22"/>
  <c r="E74" i="22" s="1"/>
  <c r="D33" i="22"/>
  <c r="D74" i="22" s="1"/>
  <c r="O186" i="21"/>
  <c r="O185" i="21"/>
  <c r="C156" i="20" s="1"/>
  <c r="O184" i="21"/>
  <c r="C155" i="20" s="1"/>
  <c r="O183" i="21"/>
  <c r="C154" i="20" s="1"/>
  <c r="O182" i="21"/>
  <c r="O181" i="21"/>
  <c r="O180" i="21"/>
  <c r="O179" i="21"/>
  <c r="O178" i="21"/>
  <c r="O177" i="21"/>
  <c r="C148" i="20" s="1"/>
  <c r="O176" i="21"/>
  <c r="C147" i="20" s="1"/>
  <c r="O175" i="21"/>
  <c r="C146" i="20" s="1"/>
  <c r="O174" i="21"/>
  <c r="O173" i="21"/>
  <c r="O172" i="21"/>
  <c r="O170" i="21"/>
  <c r="O169" i="21"/>
  <c r="O168" i="21"/>
  <c r="C139" i="20" s="1"/>
  <c r="O167" i="21"/>
  <c r="C138" i="20" s="1"/>
  <c r="O166" i="21"/>
  <c r="C137" i="20" s="1"/>
  <c r="O165" i="21"/>
  <c r="O164" i="21"/>
  <c r="O163" i="21"/>
  <c r="O162" i="21"/>
  <c r="O161" i="21"/>
  <c r="O160" i="21"/>
  <c r="C131" i="20" s="1"/>
  <c r="O159" i="21"/>
  <c r="C130" i="20" s="1"/>
  <c r="O158" i="21"/>
  <c r="C129" i="20" s="1"/>
  <c r="O157" i="21"/>
  <c r="O156" i="21"/>
  <c r="O155" i="21"/>
  <c r="O154" i="21"/>
  <c r="O153" i="21"/>
  <c r="O152" i="21"/>
  <c r="C123" i="20" s="1"/>
  <c r="O151" i="21"/>
  <c r="C122" i="20" s="1"/>
  <c r="O150" i="21"/>
  <c r="C121" i="20" s="1"/>
  <c r="O149" i="21"/>
  <c r="O148" i="21"/>
  <c r="O147" i="21"/>
  <c r="O146" i="21"/>
  <c r="O145" i="21"/>
  <c r="O144" i="21"/>
  <c r="C115" i="20" s="1"/>
  <c r="O143" i="21"/>
  <c r="C114" i="20" s="1"/>
  <c r="O142" i="21"/>
  <c r="C113" i="20" s="1"/>
  <c r="O141" i="21"/>
  <c r="O140" i="21"/>
  <c r="O139" i="21"/>
  <c r="O138" i="21"/>
  <c r="O137" i="21"/>
  <c r="O136" i="21"/>
  <c r="C107" i="20" s="1"/>
  <c r="O135" i="21"/>
  <c r="C106" i="20" s="1"/>
  <c r="O134" i="21"/>
  <c r="C105" i="20" s="1"/>
  <c r="O133" i="21"/>
  <c r="O132" i="21"/>
  <c r="O131" i="21"/>
  <c r="O130" i="21"/>
  <c r="O129" i="21"/>
  <c r="O128" i="21"/>
  <c r="C99" i="20" s="1"/>
  <c r="O127" i="21"/>
  <c r="C98" i="20" s="1"/>
  <c r="O126" i="21"/>
  <c r="C97" i="20" s="1"/>
  <c r="O125" i="21"/>
  <c r="O124" i="21"/>
  <c r="O123" i="21"/>
  <c r="O122" i="21"/>
  <c r="O121" i="21"/>
  <c r="O120" i="21"/>
  <c r="C91" i="20" s="1"/>
  <c r="O119" i="21"/>
  <c r="C90" i="20" s="1"/>
  <c r="O118" i="21"/>
  <c r="C89" i="20" s="1"/>
  <c r="O117" i="21"/>
  <c r="O116" i="21"/>
  <c r="O115" i="21"/>
  <c r="O114" i="21"/>
  <c r="O113" i="21"/>
  <c r="O112" i="21"/>
  <c r="C83" i="20" s="1"/>
  <c r="O111" i="21"/>
  <c r="C82" i="20" s="1"/>
  <c r="O110" i="21"/>
  <c r="C81" i="20" s="1"/>
  <c r="O109" i="21"/>
  <c r="O108" i="21"/>
  <c r="O107" i="21"/>
  <c r="O106" i="21"/>
  <c r="O105" i="21"/>
  <c r="O104" i="21"/>
  <c r="C75" i="20" s="1"/>
  <c r="O103" i="21"/>
  <c r="C74" i="20" s="1"/>
  <c r="O102" i="21"/>
  <c r="C73" i="20" s="1"/>
  <c r="C68" i="20" s="1"/>
  <c r="O101" i="21"/>
  <c r="O100" i="21"/>
  <c r="O99" i="21"/>
  <c r="O98" i="21"/>
  <c r="O95" i="21"/>
  <c r="O94" i="21"/>
  <c r="C65" i="20" s="1"/>
  <c r="O93" i="21"/>
  <c r="C64" i="20" s="1"/>
  <c r="O92" i="21"/>
  <c r="O91" i="21"/>
  <c r="O90" i="21"/>
  <c r="O89" i="21"/>
  <c r="O88" i="21"/>
  <c r="O87" i="21"/>
  <c r="O86" i="21"/>
  <c r="C57" i="20" s="1"/>
  <c r="O85" i="21"/>
  <c r="C56" i="20" s="1"/>
  <c r="O84" i="21"/>
  <c r="O83" i="21"/>
  <c r="O82" i="21"/>
  <c r="O81" i="21"/>
  <c r="O80" i="21"/>
  <c r="O79" i="21"/>
  <c r="O78" i="21"/>
  <c r="C49" i="20" s="1"/>
  <c r="O77" i="21"/>
  <c r="C48" i="20" s="1"/>
  <c r="O76" i="21"/>
  <c r="O75" i="21"/>
  <c r="O74" i="21"/>
  <c r="O73" i="21"/>
  <c r="O72" i="21"/>
  <c r="O71" i="21"/>
  <c r="O70" i="21"/>
  <c r="C41" i="20" s="1"/>
  <c r="O69" i="21"/>
  <c r="C40" i="20" s="1"/>
  <c r="C39" i="20" s="1"/>
  <c r="O68" i="21"/>
  <c r="O67" i="21"/>
  <c r="O66" i="21"/>
  <c r="O65" i="21"/>
  <c r="O64" i="21"/>
  <c r="O63" i="21"/>
  <c r="O62" i="21"/>
  <c r="C33" i="20" s="1"/>
  <c r="O61" i="21"/>
  <c r="C32" i="20" s="1"/>
  <c r="O60" i="21"/>
  <c r="C31" i="20" s="1"/>
  <c r="O59" i="21"/>
  <c r="O58" i="21"/>
  <c r="O57" i="21"/>
  <c r="O56" i="21"/>
  <c r="O55" i="21"/>
  <c r="O54" i="21"/>
  <c r="C25" i="20" s="1"/>
  <c r="O53" i="21"/>
  <c r="C24" i="20" s="1"/>
  <c r="O52" i="21"/>
  <c r="C23" i="20" s="1"/>
  <c r="O51" i="21"/>
  <c r="N47" i="21"/>
  <c r="M47" i="21"/>
  <c r="L47" i="21"/>
  <c r="K47" i="21"/>
  <c r="J47" i="21"/>
  <c r="I47" i="21"/>
  <c r="H47" i="21"/>
  <c r="G47" i="21"/>
  <c r="F47" i="21"/>
  <c r="O47" i="21" s="1"/>
  <c r="E47" i="21"/>
  <c r="D47" i="21"/>
  <c r="C47" i="21"/>
  <c r="N44" i="21"/>
  <c r="M44" i="21"/>
  <c r="L44" i="21"/>
  <c r="K44" i="21"/>
  <c r="J44" i="21"/>
  <c r="J46" i="21" s="1"/>
  <c r="J48" i="21" s="1"/>
  <c r="I44" i="21"/>
  <c r="I46" i="21" s="1"/>
  <c r="I48" i="21" s="1"/>
  <c r="H44" i="21"/>
  <c r="H46" i="21" s="1"/>
  <c r="H48" i="21" s="1"/>
  <c r="G44" i="21"/>
  <c r="F44" i="21"/>
  <c r="E44" i="21"/>
  <c r="D44" i="21"/>
  <c r="C44" i="21"/>
  <c r="Q42" i="21"/>
  <c r="P42" i="21"/>
  <c r="Q41" i="21"/>
  <c r="P41" i="21"/>
  <c r="M37" i="21"/>
  <c r="L37" i="21"/>
  <c r="K37" i="21"/>
  <c r="J37" i="21"/>
  <c r="J39" i="21" s="1"/>
  <c r="I37" i="21"/>
  <c r="I39" i="21" s="1"/>
  <c r="H37" i="21"/>
  <c r="H39" i="21" s="1"/>
  <c r="G37" i="21"/>
  <c r="O37" i="21" s="1"/>
  <c r="C11" i="20" s="1"/>
  <c r="E11" i="20" s="1"/>
  <c r="F37" i="21"/>
  <c r="F39" i="21" s="1"/>
  <c r="F46" i="21" s="1"/>
  <c r="F48" i="21" s="1"/>
  <c r="E37" i="21"/>
  <c r="D37" i="21"/>
  <c r="C37" i="21"/>
  <c r="P35" i="21"/>
  <c r="Q34" i="21"/>
  <c r="P34" i="21"/>
  <c r="Q33" i="21"/>
  <c r="P33" i="21"/>
  <c r="N33" i="21"/>
  <c r="N37" i="21" s="1"/>
  <c r="N39" i="21" s="1"/>
  <c r="N46" i="21" s="1"/>
  <c r="N48" i="21" s="1"/>
  <c r="N31" i="21"/>
  <c r="M31" i="21"/>
  <c r="M39" i="21" s="1"/>
  <c r="M46" i="21" s="1"/>
  <c r="M48" i="21" s="1"/>
  <c r="L31" i="21"/>
  <c r="L39" i="21" s="1"/>
  <c r="K31" i="21"/>
  <c r="K39" i="21" s="1"/>
  <c r="J31" i="21"/>
  <c r="I31" i="21"/>
  <c r="H31" i="21"/>
  <c r="G31" i="21"/>
  <c r="F31" i="21"/>
  <c r="E31" i="21"/>
  <c r="E39" i="21" s="1"/>
  <c r="E46" i="21" s="1"/>
  <c r="E48" i="21" s="1"/>
  <c r="D31" i="21"/>
  <c r="D39" i="21" s="1"/>
  <c r="C31" i="21"/>
  <c r="C39" i="21" s="1"/>
  <c r="Q29" i="21"/>
  <c r="P29" i="21"/>
  <c r="Q28" i="21"/>
  <c r="P28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O26" i="21" s="1"/>
  <c r="C7" i="20" s="1"/>
  <c r="E7" i="20" s="1"/>
  <c r="Q24" i="21"/>
  <c r="P24" i="21"/>
  <c r="Q23" i="21"/>
  <c r="P23" i="21"/>
  <c r="Q22" i="21"/>
  <c r="P22" i="21"/>
  <c r="Q21" i="21"/>
  <c r="P21" i="21"/>
  <c r="Q20" i="21"/>
  <c r="P20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O18" i="21" s="1"/>
  <c r="P16" i="21"/>
  <c r="D16" i="21"/>
  <c r="Q16" i="21" s="1"/>
  <c r="Q15" i="21"/>
  <c r="P15" i="21"/>
  <c r="Q14" i="21"/>
  <c r="P14" i="21"/>
  <c r="Q13" i="21"/>
  <c r="P13" i="21"/>
  <c r="Q12" i="21"/>
  <c r="P12" i="21"/>
  <c r="Q11" i="21"/>
  <c r="P11" i="21"/>
  <c r="Q10" i="21"/>
  <c r="P10" i="21"/>
  <c r="Q9" i="21"/>
  <c r="P9" i="21"/>
  <c r="Q8" i="21"/>
  <c r="P8" i="21"/>
  <c r="Q7" i="21"/>
  <c r="S17" i="21" s="1"/>
  <c r="P7" i="21"/>
  <c r="Q6" i="21"/>
  <c r="P6" i="21"/>
  <c r="Q5" i="21"/>
  <c r="S16" i="21" s="1"/>
  <c r="P5" i="21"/>
  <c r="D158" i="20"/>
  <c r="B158" i="20"/>
  <c r="D157" i="20"/>
  <c r="C157" i="20"/>
  <c r="D156" i="20"/>
  <c r="C153" i="20"/>
  <c r="D152" i="20"/>
  <c r="C152" i="20"/>
  <c r="D151" i="20"/>
  <c r="C151" i="20"/>
  <c r="D150" i="20"/>
  <c r="C150" i="20"/>
  <c r="D149" i="20"/>
  <c r="C149" i="20"/>
  <c r="D148" i="20"/>
  <c r="C145" i="20"/>
  <c r="D144" i="20"/>
  <c r="C144" i="20"/>
  <c r="D143" i="20"/>
  <c r="C143" i="20"/>
  <c r="D141" i="20"/>
  <c r="C141" i="20"/>
  <c r="D140" i="20"/>
  <c r="C140" i="20"/>
  <c r="D139" i="20"/>
  <c r="C136" i="20"/>
  <c r="D135" i="20"/>
  <c r="C135" i="20"/>
  <c r="D134" i="20"/>
  <c r="C134" i="20"/>
  <c r="D133" i="20"/>
  <c r="C133" i="20"/>
  <c r="D132" i="20"/>
  <c r="C132" i="20"/>
  <c r="D131" i="20"/>
  <c r="C128" i="20"/>
  <c r="D127" i="20"/>
  <c r="C127" i="20"/>
  <c r="D126" i="20"/>
  <c r="C126" i="20"/>
  <c r="D125" i="20"/>
  <c r="C125" i="20"/>
  <c r="D124" i="20"/>
  <c r="C124" i="20"/>
  <c r="D123" i="20"/>
  <c r="C120" i="20"/>
  <c r="D119" i="20"/>
  <c r="C119" i="20"/>
  <c r="D118" i="20"/>
  <c r="C118" i="20"/>
  <c r="D117" i="20"/>
  <c r="C117" i="20"/>
  <c r="D116" i="20"/>
  <c r="C116" i="20"/>
  <c r="D115" i="20"/>
  <c r="C112" i="20"/>
  <c r="D111" i="20"/>
  <c r="C111" i="20"/>
  <c r="D110" i="20"/>
  <c r="C110" i="20"/>
  <c r="D109" i="20"/>
  <c r="C109" i="20"/>
  <c r="D108" i="20"/>
  <c r="C108" i="20"/>
  <c r="D107" i="20"/>
  <c r="C104" i="20"/>
  <c r="D103" i="20"/>
  <c r="C103" i="20"/>
  <c r="D102" i="20"/>
  <c r="C102" i="20"/>
  <c r="D101" i="20"/>
  <c r="C101" i="20"/>
  <c r="D100" i="20"/>
  <c r="C100" i="20"/>
  <c r="D99" i="20"/>
  <c r="C96" i="20"/>
  <c r="D95" i="20"/>
  <c r="C95" i="20"/>
  <c r="D94" i="20"/>
  <c r="C94" i="20"/>
  <c r="D93" i="20"/>
  <c r="C93" i="20"/>
  <c r="D92" i="20"/>
  <c r="C92" i="20"/>
  <c r="D91" i="20"/>
  <c r="C88" i="20"/>
  <c r="D87" i="20"/>
  <c r="C87" i="20"/>
  <c r="D86" i="20"/>
  <c r="C86" i="20"/>
  <c r="D85" i="20"/>
  <c r="C85" i="20"/>
  <c r="D84" i="20"/>
  <c r="C84" i="20"/>
  <c r="D83" i="20"/>
  <c r="C80" i="20"/>
  <c r="D79" i="20"/>
  <c r="C79" i="20"/>
  <c r="D78" i="20"/>
  <c r="C78" i="20"/>
  <c r="D77" i="20"/>
  <c r="C77" i="20"/>
  <c r="D76" i="20"/>
  <c r="C76" i="20"/>
  <c r="D75" i="20"/>
  <c r="C72" i="20"/>
  <c r="D71" i="20"/>
  <c r="C71" i="20"/>
  <c r="D70" i="20"/>
  <c r="C70" i="20"/>
  <c r="D69" i="20"/>
  <c r="C69" i="20"/>
  <c r="D66" i="20"/>
  <c r="C66" i="20"/>
  <c r="D65" i="20"/>
  <c r="D64" i="20"/>
  <c r="D63" i="20"/>
  <c r="C63" i="20"/>
  <c r="D62" i="20"/>
  <c r="C62" i="20"/>
  <c r="C61" i="20"/>
  <c r="C60" i="20"/>
  <c r="D59" i="20"/>
  <c r="C59" i="20"/>
  <c r="D58" i="20"/>
  <c r="C58" i="20"/>
  <c r="D57" i="20"/>
  <c r="D56" i="20"/>
  <c r="D55" i="20"/>
  <c r="C55" i="20"/>
  <c r="D54" i="20"/>
  <c r="C54" i="20"/>
  <c r="C53" i="20"/>
  <c r="C52" i="20"/>
  <c r="D51" i="20"/>
  <c r="C51" i="20"/>
  <c r="D50" i="20"/>
  <c r="C50" i="20"/>
  <c r="D49" i="20"/>
  <c r="D48" i="20"/>
  <c r="D47" i="20"/>
  <c r="C47" i="20"/>
  <c r="D46" i="20"/>
  <c r="C46" i="20"/>
  <c r="C45" i="20"/>
  <c r="C44" i="20"/>
  <c r="D43" i="20"/>
  <c r="C43" i="20"/>
  <c r="D42" i="20"/>
  <c r="C42" i="20"/>
  <c r="D41" i="20"/>
  <c r="D40" i="20"/>
  <c r="C37" i="20"/>
  <c r="C36" i="20"/>
  <c r="D35" i="20"/>
  <c r="C35" i="20"/>
  <c r="D34" i="20"/>
  <c r="C34" i="20"/>
  <c r="D33" i="20"/>
  <c r="D32" i="20"/>
  <c r="D31" i="20"/>
  <c r="D30" i="20"/>
  <c r="C30" i="20"/>
  <c r="C29" i="20"/>
  <c r="C28" i="20"/>
  <c r="D27" i="20"/>
  <c r="C27" i="20"/>
  <c r="D26" i="20"/>
  <c r="C26" i="20"/>
  <c r="D25" i="20"/>
  <c r="D24" i="20"/>
  <c r="D23" i="20"/>
  <c r="D22" i="20"/>
  <c r="C22" i="20"/>
  <c r="D11" i="20"/>
  <c r="D7" i="20"/>
  <c r="C147" i="23" l="1"/>
  <c r="J55" i="23"/>
  <c r="C5" i="20"/>
  <c r="O39" i="21"/>
  <c r="L46" i="21"/>
  <c r="L48" i="21" s="1"/>
  <c r="E5" i="20"/>
  <c r="H80" i="22"/>
  <c r="K46" i="21"/>
  <c r="K48" i="21" s="1"/>
  <c r="S18" i="21"/>
  <c r="D46" i="21"/>
  <c r="D48" i="21" s="1"/>
  <c r="C46" i="21"/>
  <c r="C21" i="20"/>
  <c r="C18" i="20" s="1"/>
  <c r="D21" i="20"/>
  <c r="D39" i="20"/>
  <c r="J52" i="23"/>
  <c r="H74" i="22"/>
  <c r="O31" i="21"/>
  <c r="C9" i="20" s="1"/>
  <c r="G39" i="21"/>
  <c r="G46" i="21" s="1"/>
  <c r="G48" i="21" s="1"/>
  <c r="Q46" i="21"/>
  <c r="O44" i="21"/>
  <c r="C15" i="20" s="1"/>
  <c r="E15" i="20" s="1"/>
  <c r="D9" i="20"/>
  <c r="E9" i="20" s="1"/>
  <c r="C48" i="21" l="1"/>
  <c r="O46" i="21"/>
  <c r="D18" i="20"/>
  <c r="E18" i="20" s="1"/>
  <c r="C13" i="20"/>
  <c r="C17" i="20" s="1"/>
  <c r="C19" i="20" s="1"/>
  <c r="D13" i="20"/>
  <c r="C149" i="23"/>
  <c r="J149" i="23" s="1"/>
  <c r="J147" i="23"/>
  <c r="E13" i="20" l="1"/>
  <c r="D17" i="20"/>
  <c r="O48" i="21"/>
  <c r="P46" i="21"/>
  <c r="E17" i="20" l="1"/>
  <c r="D19" i="20"/>
  <c r="E19" i="20" s="1"/>
  <c r="J149" i="18" l="1"/>
  <c r="B149" i="18"/>
  <c r="J146" i="18"/>
  <c r="I144" i="18"/>
  <c r="H144" i="18"/>
  <c r="G144" i="18"/>
  <c r="F144" i="18"/>
  <c r="E144" i="18"/>
  <c r="D144" i="18"/>
  <c r="D145" i="18" s="1"/>
  <c r="D147" i="18" s="1"/>
  <c r="C144" i="18"/>
  <c r="J144" i="18" s="1"/>
  <c r="J143" i="18"/>
  <c r="J142" i="18"/>
  <c r="J141" i="18"/>
  <c r="J140" i="18"/>
  <c r="J139" i="18"/>
  <c r="J138" i="18"/>
  <c r="J137" i="18"/>
  <c r="D152" i="15" s="1"/>
  <c r="J136" i="18"/>
  <c r="J135" i="18"/>
  <c r="J134" i="18"/>
  <c r="J133" i="18"/>
  <c r="J132" i="18"/>
  <c r="J131" i="18"/>
  <c r="J130" i="18"/>
  <c r="J129" i="18"/>
  <c r="D144" i="15" s="1"/>
  <c r="J127" i="18"/>
  <c r="J126" i="18"/>
  <c r="J125" i="18"/>
  <c r="J124" i="18"/>
  <c r="J123" i="18"/>
  <c r="J122" i="18"/>
  <c r="D137" i="15" s="1"/>
  <c r="J121" i="18"/>
  <c r="J120" i="18"/>
  <c r="D135" i="15" s="1"/>
  <c r="J119" i="18"/>
  <c r="J118" i="18"/>
  <c r="J117" i="18"/>
  <c r="J116" i="18"/>
  <c r="J115" i="18"/>
  <c r="J114" i="18"/>
  <c r="D129" i="15" s="1"/>
  <c r="J113" i="18"/>
  <c r="J112" i="18"/>
  <c r="D127" i="15" s="1"/>
  <c r="J111" i="18"/>
  <c r="J110" i="18"/>
  <c r="J109" i="18"/>
  <c r="J108" i="18"/>
  <c r="J107" i="18"/>
  <c r="J106" i="18"/>
  <c r="D121" i="15" s="1"/>
  <c r="J105" i="18"/>
  <c r="J104" i="18"/>
  <c r="D119" i="15" s="1"/>
  <c r="J103" i="18"/>
  <c r="J102" i="18"/>
  <c r="J101" i="18"/>
  <c r="J100" i="18"/>
  <c r="J99" i="18"/>
  <c r="J98" i="18"/>
  <c r="D113" i="15" s="1"/>
  <c r="J97" i="18"/>
  <c r="J96" i="18"/>
  <c r="D111" i="15" s="1"/>
  <c r="J95" i="18"/>
  <c r="J94" i="18"/>
  <c r="J93" i="18"/>
  <c r="J92" i="18"/>
  <c r="J91" i="18"/>
  <c r="J90" i="18"/>
  <c r="D105" i="15" s="1"/>
  <c r="J89" i="18"/>
  <c r="J88" i="18"/>
  <c r="D103" i="15" s="1"/>
  <c r="J87" i="18"/>
  <c r="J86" i="18"/>
  <c r="J85" i="18"/>
  <c r="J84" i="18"/>
  <c r="J83" i="18"/>
  <c r="J82" i="18"/>
  <c r="D97" i="15" s="1"/>
  <c r="J81" i="18"/>
  <c r="J80" i="18"/>
  <c r="D95" i="15" s="1"/>
  <c r="J79" i="18"/>
  <c r="J78" i="18"/>
  <c r="J77" i="18"/>
  <c r="J76" i="18"/>
  <c r="J75" i="18"/>
  <c r="J74" i="18"/>
  <c r="D89" i="15" s="1"/>
  <c r="J73" i="18"/>
  <c r="J72" i="18"/>
  <c r="D87" i="15" s="1"/>
  <c r="J71" i="18"/>
  <c r="J70" i="18"/>
  <c r="J69" i="18"/>
  <c r="J68" i="18"/>
  <c r="J67" i="18"/>
  <c r="J66" i="18"/>
  <c r="D81" i="15" s="1"/>
  <c r="J65" i="18"/>
  <c r="J64" i="18"/>
  <c r="D79" i="15" s="1"/>
  <c r="J63" i="18"/>
  <c r="J62" i="18"/>
  <c r="J61" i="18"/>
  <c r="J60" i="18"/>
  <c r="J59" i="18"/>
  <c r="J58" i="18"/>
  <c r="D73" i="15" s="1"/>
  <c r="J57" i="18"/>
  <c r="J56" i="18"/>
  <c r="D71" i="15" s="1"/>
  <c r="D54" i="18"/>
  <c r="C54" i="18"/>
  <c r="C145" i="18" s="1"/>
  <c r="J53" i="18"/>
  <c r="J52" i="18"/>
  <c r="I51" i="18"/>
  <c r="I54" i="18" s="1"/>
  <c r="I145" i="18" s="1"/>
  <c r="I147" i="18" s="1"/>
  <c r="H51" i="18"/>
  <c r="H54" i="18" s="1"/>
  <c r="H145" i="18" s="1"/>
  <c r="H147" i="18" s="1"/>
  <c r="G51" i="18"/>
  <c r="G54" i="18" s="1"/>
  <c r="G145" i="18" s="1"/>
  <c r="G147" i="18" s="1"/>
  <c r="F51" i="18"/>
  <c r="F54" i="18" s="1"/>
  <c r="F145" i="18" s="1"/>
  <c r="F147" i="18" s="1"/>
  <c r="E51" i="18"/>
  <c r="E54" i="18" s="1"/>
  <c r="E145" i="18" s="1"/>
  <c r="E147" i="18" s="1"/>
  <c r="D51" i="18"/>
  <c r="J51" i="18" s="1"/>
  <c r="C51" i="18"/>
  <c r="J50" i="18"/>
  <c r="J49" i="18"/>
  <c r="J48" i="18"/>
  <c r="J47" i="18"/>
  <c r="D66" i="15" s="1"/>
  <c r="J46" i="18"/>
  <c r="J45" i="18"/>
  <c r="D64" i="15" s="1"/>
  <c r="J44" i="18"/>
  <c r="J43" i="18"/>
  <c r="J42" i="18"/>
  <c r="J41" i="18"/>
  <c r="J40" i="18"/>
  <c r="J39" i="18"/>
  <c r="D58" i="15" s="1"/>
  <c r="J38" i="18"/>
  <c r="J37" i="18"/>
  <c r="D56" i="15" s="1"/>
  <c r="J36" i="18"/>
  <c r="J35" i="18"/>
  <c r="J34" i="18"/>
  <c r="J33" i="18"/>
  <c r="J32" i="18"/>
  <c r="J31" i="18"/>
  <c r="D50" i="15" s="1"/>
  <c r="J30" i="18"/>
  <c r="J29" i="18"/>
  <c r="D48" i="15" s="1"/>
  <c r="J28" i="18"/>
  <c r="J27" i="18"/>
  <c r="J26" i="18"/>
  <c r="J25" i="18"/>
  <c r="J24" i="18"/>
  <c r="J23" i="18"/>
  <c r="D42" i="15" s="1"/>
  <c r="J22" i="18"/>
  <c r="J21" i="18"/>
  <c r="D40" i="15" s="1"/>
  <c r="J20" i="18"/>
  <c r="J18" i="18"/>
  <c r="J17" i="18"/>
  <c r="J16" i="18"/>
  <c r="J15" i="18"/>
  <c r="J14" i="18"/>
  <c r="D34" i="15" s="1"/>
  <c r="J13" i="18"/>
  <c r="J12" i="18"/>
  <c r="D32" i="15" s="1"/>
  <c r="J11" i="18"/>
  <c r="J10" i="18"/>
  <c r="J9" i="18"/>
  <c r="J8" i="18"/>
  <c r="J7" i="18"/>
  <c r="J6" i="18"/>
  <c r="D25" i="15" s="1"/>
  <c r="J5" i="18"/>
  <c r="J4" i="18"/>
  <c r="D23" i="15" s="1"/>
  <c r="J3" i="18"/>
  <c r="G85" i="17"/>
  <c r="C85" i="17"/>
  <c r="H83" i="17"/>
  <c r="G83" i="17"/>
  <c r="F83" i="17"/>
  <c r="E83" i="17"/>
  <c r="D83" i="17"/>
  <c r="H73" i="17"/>
  <c r="G73" i="17"/>
  <c r="F73" i="17"/>
  <c r="D15" i="15" s="1"/>
  <c r="E73" i="17"/>
  <c r="D73" i="17"/>
  <c r="H69" i="17"/>
  <c r="G69" i="17"/>
  <c r="F69" i="17"/>
  <c r="E69" i="17"/>
  <c r="D69" i="17"/>
  <c r="H59" i="17"/>
  <c r="D9" i="15" s="1"/>
  <c r="G59" i="17"/>
  <c r="F59" i="17"/>
  <c r="E59" i="17"/>
  <c r="D59" i="17"/>
  <c r="H49" i="17"/>
  <c r="G49" i="17"/>
  <c r="G76" i="17" s="1"/>
  <c r="F49" i="17"/>
  <c r="F76" i="17" s="1"/>
  <c r="E49" i="17"/>
  <c r="D49" i="17"/>
  <c r="H33" i="17"/>
  <c r="H76" i="17" s="1"/>
  <c r="G33" i="17"/>
  <c r="F33" i="17"/>
  <c r="E33" i="17"/>
  <c r="E76" i="17" s="1"/>
  <c r="D33" i="17"/>
  <c r="D76" i="17" s="1"/>
  <c r="N208" i="16"/>
  <c r="N207" i="16"/>
  <c r="C158" i="15" s="1"/>
  <c r="N206" i="16"/>
  <c r="N205" i="16"/>
  <c r="N204" i="16"/>
  <c r="N203" i="16"/>
  <c r="N202" i="16"/>
  <c r="N201" i="16"/>
  <c r="C152" i="15" s="1"/>
  <c r="N200" i="16"/>
  <c r="N199" i="16"/>
  <c r="C150" i="15" s="1"/>
  <c r="N198" i="16"/>
  <c r="N197" i="16"/>
  <c r="N196" i="16"/>
  <c r="N195" i="16"/>
  <c r="N194" i="16"/>
  <c r="N193" i="16"/>
  <c r="C144" i="15" s="1"/>
  <c r="N191" i="16"/>
  <c r="N190" i="16"/>
  <c r="C141" i="15" s="1"/>
  <c r="N189" i="16"/>
  <c r="N188" i="16"/>
  <c r="N187" i="16"/>
  <c r="N186" i="16"/>
  <c r="N185" i="16"/>
  <c r="N184" i="16"/>
  <c r="N183" i="16"/>
  <c r="N182" i="16"/>
  <c r="C133" i="15" s="1"/>
  <c r="N181" i="16"/>
  <c r="N180" i="16"/>
  <c r="N179" i="16"/>
  <c r="N178" i="16"/>
  <c r="N177" i="16"/>
  <c r="N176" i="16"/>
  <c r="N175" i="16"/>
  <c r="N174" i="16"/>
  <c r="C125" i="15" s="1"/>
  <c r="N173" i="16"/>
  <c r="N172" i="16"/>
  <c r="N171" i="16"/>
  <c r="N170" i="16"/>
  <c r="N169" i="16"/>
  <c r="N168" i="16"/>
  <c r="N167" i="16"/>
  <c r="N166" i="16"/>
  <c r="C117" i="15" s="1"/>
  <c r="N165" i="16"/>
  <c r="N164" i="16"/>
  <c r="N163" i="16"/>
  <c r="N162" i="16"/>
  <c r="N161" i="16"/>
  <c r="N160" i="16"/>
  <c r="N159" i="16"/>
  <c r="N158" i="16"/>
  <c r="C109" i="15" s="1"/>
  <c r="N157" i="16"/>
  <c r="N156" i="16"/>
  <c r="N155" i="16"/>
  <c r="N154" i="16"/>
  <c r="N153" i="16"/>
  <c r="N152" i="16"/>
  <c r="N151" i="16"/>
  <c r="N150" i="16"/>
  <c r="C101" i="15" s="1"/>
  <c r="N149" i="16"/>
  <c r="N148" i="16"/>
  <c r="N147" i="16"/>
  <c r="N146" i="16"/>
  <c r="N145" i="16"/>
  <c r="N144" i="16"/>
  <c r="N143" i="16"/>
  <c r="N142" i="16"/>
  <c r="C93" i="15" s="1"/>
  <c r="N141" i="16"/>
  <c r="N140" i="16"/>
  <c r="N139" i="16"/>
  <c r="N138" i="16"/>
  <c r="N137" i="16"/>
  <c r="N136" i="16"/>
  <c r="N135" i="16"/>
  <c r="N134" i="16"/>
  <c r="C85" i="15" s="1"/>
  <c r="N133" i="16"/>
  <c r="N132" i="16"/>
  <c r="N131" i="16"/>
  <c r="N130" i="16"/>
  <c r="N129" i="16"/>
  <c r="N128" i="16"/>
  <c r="N127" i="16"/>
  <c r="N126" i="16"/>
  <c r="C77" i="15" s="1"/>
  <c r="C70" i="15" s="1"/>
  <c r="N125" i="16"/>
  <c r="N124" i="16"/>
  <c r="N123" i="16"/>
  <c r="N122" i="16"/>
  <c r="N121" i="16"/>
  <c r="N120" i="16"/>
  <c r="N119" i="16"/>
  <c r="N117" i="16"/>
  <c r="C66" i="15" s="1"/>
  <c r="N116" i="16"/>
  <c r="N115" i="16"/>
  <c r="N114" i="16"/>
  <c r="N113" i="16"/>
  <c r="N112" i="16"/>
  <c r="N111" i="16"/>
  <c r="N110" i="16"/>
  <c r="N109" i="16"/>
  <c r="C58" i="15" s="1"/>
  <c r="N108" i="16"/>
  <c r="N107" i="16"/>
  <c r="N106" i="16"/>
  <c r="N105" i="16"/>
  <c r="N104" i="16"/>
  <c r="N103" i="16"/>
  <c r="N102" i="16"/>
  <c r="N101" i="16"/>
  <c r="C50" i="15" s="1"/>
  <c r="N100" i="16"/>
  <c r="N99" i="16"/>
  <c r="N98" i="16"/>
  <c r="N97" i="16"/>
  <c r="N96" i="16"/>
  <c r="N95" i="16"/>
  <c r="N94" i="16"/>
  <c r="N93" i="16"/>
  <c r="C42" i="15" s="1"/>
  <c r="N92" i="16"/>
  <c r="N91" i="16"/>
  <c r="N88" i="16"/>
  <c r="N87" i="16"/>
  <c r="N86" i="16"/>
  <c r="N85" i="16"/>
  <c r="C34" i="15" s="1"/>
  <c r="N84" i="16"/>
  <c r="N83" i="16"/>
  <c r="C32" i="15" s="1"/>
  <c r="N82" i="16"/>
  <c r="N81" i="16"/>
  <c r="N80" i="16"/>
  <c r="N79" i="16"/>
  <c r="N78" i="16"/>
  <c r="N77" i="16"/>
  <c r="C26" i="15" s="1"/>
  <c r="N76" i="16"/>
  <c r="N75" i="16"/>
  <c r="C24" i="15" s="1"/>
  <c r="N74" i="16"/>
  <c r="N73" i="16"/>
  <c r="M69" i="16"/>
  <c r="L69" i="16"/>
  <c r="K69" i="16"/>
  <c r="J69" i="16"/>
  <c r="I69" i="16"/>
  <c r="H69" i="16"/>
  <c r="G69" i="16"/>
  <c r="F69" i="16"/>
  <c r="E69" i="16"/>
  <c r="N69" i="16" s="1"/>
  <c r="D69" i="16"/>
  <c r="C69" i="16"/>
  <c r="M66" i="16"/>
  <c r="L66" i="16"/>
  <c r="K66" i="16"/>
  <c r="J66" i="16"/>
  <c r="I66" i="16"/>
  <c r="I68" i="16" s="1"/>
  <c r="I70" i="16" s="1"/>
  <c r="H66" i="16"/>
  <c r="H68" i="16" s="1"/>
  <c r="H70" i="16" s="1"/>
  <c r="G66" i="16"/>
  <c r="G68" i="16" s="1"/>
  <c r="G70" i="16" s="1"/>
  <c r="F66" i="16"/>
  <c r="N66" i="16" s="1"/>
  <c r="C15" i="15" s="1"/>
  <c r="E66" i="16"/>
  <c r="D66" i="16"/>
  <c r="C66" i="16"/>
  <c r="O64" i="16"/>
  <c r="N64" i="16"/>
  <c r="O63" i="16"/>
  <c r="N63" i="16"/>
  <c r="O62" i="16"/>
  <c r="N62" i="16"/>
  <c r="O61" i="16"/>
  <c r="N61" i="16"/>
  <c r="M57" i="16"/>
  <c r="L57" i="16"/>
  <c r="K57" i="16"/>
  <c r="J57" i="16"/>
  <c r="I57" i="16"/>
  <c r="I59" i="16" s="1"/>
  <c r="H57" i="16"/>
  <c r="H59" i="16" s="1"/>
  <c r="G57" i="16"/>
  <c r="G59" i="16" s="1"/>
  <c r="F57" i="16"/>
  <c r="N57" i="16" s="1"/>
  <c r="C11" i="15" s="1"/>
  <c r="E57" i="16"/>
  <c r="D57" i="16"/>
  <c r="C57" i="16"/>
  <c r="O55" i="16"/>
  <c r="N55" i="16"/>
  <c r="O54" i="16"/>
  <c r="N54" i="16"/>
  <c r="O53" i="16"/>
  <c r="N53" i="16"/>
  <c r="O52" i="16"/>
  <c r="N52" i="16"/>
  <c r="M50" i="16"/>
  <c r="M59" i="16" s="1"/>
  <c r="L50" i="16"/>
  <c r="K50" i="16"/>
  <c r="K59" i="16" s="1"/>
  <c r="K68" i="16" s="1"/>
  <c r="K70" i="16" s="1"/>
  <c r="J50" i="16"/>
  <c r="J59" i="16" s="1"/>
  <c r="J68" i="16" s="1"/>
  <c r="J70" i="16" s="1"/>
  <c r="I50" i="16"/>
  <c r="H50" i="16"/>
  <c r="G50" i="16"/>
  <c r="F50" i="16"/>
  <c r="E50" i="16"/>
  <c r="E59" i="16" s="1"/>
  <c r="D50" i="16"/>
  <c r="D59" i="16" s="1"/>
  <c r="D68" i="16" s="1"/>
  <c r="D70" i="16" s="1"/>
  <c r="C50" i="16"/>
  <c r="C59" i="16" s="1"/>
  <c r="C68" i="16" s="1"/>
  <c r="O48" i="16"/>
  <c r="N48" i="16"/>
  <c r="O47" i="16"/>
  <c r="N47" i="16"/>
  <c r="O46" i="16"/>
  <c r="N46" i="16"/>
  <c r="O45" i="16"/>
  <c r="N45" i="16"/>
  <c r="O44" i="16"/>
  <c r="N44" i="16"/>
  <c r="O43" i="16"/>
  <c r="N43" i="16"/>
  <c r="K43" i="16"/>
  <c r="O42" i="16"/>
  <c r="N42" i="16"/>
  <c r="M40" i="16"/>
  <c r="L40" i="16"/>
  <c r="K40" i="16"/>
  <c r="J40" i="16"/>
  <c r="I40" i="16"/>
  <c r="H40" i="16"/>
  <c r="G40" i="16"/>
  <c r="F40" i="16"/>
  <c r="E40" i="16"/>
  <c r="N40" i="16" s="1"/>
  <c r="C7" i="15" s="1"/>
  <c r="D40" i="16"/>
  <c r="C40" i="16"/>
  <c r="O38" i="16"/>
  <c r="N38" i="16"/>
  <c r="O37" i="16"/>
  <c r="N37" i="16"/>
  <c r="O36" i="16"/>
  <c r="N36" i="16"/>
  <c r="O35" i="16"/>
  <c r="N35" i="16"/>
  <c r="O34" i="16"/>
  <c r="N34" i="16"/>
  <c r="O33" i="16"/>
  <c r="N33" i="16"/>
  <c r="O32" i="16"/>
  <c r="N32" i="16"/>
  <c r="O31" i="16"/>
  <c r="N31" i="16"/>
  <c r="O30" i="16"/>
  <c r="N30" i="16"/>
  <c r="O29" i="16"/>
  <c r="N29" i="16"/>
  <c r="M27" i="16"/>
  <c r="K27" i="16"/>
  <c r="J27" i="16"/>
  <c r="I27" i="16"/>
  <c r="H27" i="16"/>
  <c r="G27" i="16"/>
  <c r="F27" i="16"/>
  <c r="E27" i="16"/>
  <c r="D27" i="16"/>
  <c r="C27" i="16"/>
  <c r="O25" i="16"/>
  <c r="N25" i="16"/>
  <c r="O24" i="16"/>
  <c r="N24" i="16"/>
  <c r="O23" i="16"/>
  <c r="N23" i="16"/>
  <c r="O22" i="16"/>
  <c r="N22" i="16"/>
  <c r="N21" i="16"/>
  <c r="L21" i="16"/>
  <c r="L27" i="16" s="1"/>
  <c r="O20" i="16"/>
  <c r="N20" i="16"/>
  <c r="O19" i="16"/>
  <c r="N19" i="16"/>
  <c r="O18" i="16"/>
  <c r="N18" i="16"/>
  <c r="O17" i="16"/>
  <c r="N17" i="16"/>
  <c r="O16" i="16"/>
  <c r="N16" i="16"/>
  <c r="O15" i="16"/>
  <c r="N15" i="16"/>
  <c r="O14" i="16"/>
  <c r="N14" i="16"/>
  <c r="O13" i="16"/>
  <c r="N13" i="16"/>
  <c r="O12" i="16"/>
  <c r="N12" i="16"/>
  <c r="O11" i="16"/>
  <c r="N11" i="16"/>
  <c r="E11" i="16"/>
  <c r="O10" i="16"/>
  <c r="P10" i="16" s="1"/>
  <c r="N10" i="16"/>
  <c r="P9" i="16"/>
  <c r="O9" i="16"/>
  <c r="N9" i="16"/>
  <c r="O8" i="16"/>
  <c r="P8" i="16" s="1"/>
  <c r="N8" i="16"/>
  <c r="P7" i="16"/>
  <c r="O7" i="16"/>
  <c r="N7" i="16"/>
  <c r="O6" i="16"/>
  <c r="P6" i="16" s="1"/>
  <c r="N6" i="16"/>
  <c r="P5" i="16"/>
  <c r="O5" i="16"/>
  <c r="N5" i="16"/>
  <c r="D159" i="15"/>
  <c r="B159" i="15"/>
  <c r="D158" i="15"/>
  <c r="D157" i="15"/>
  <c r="C157" i="15"/>
  <c r="D156" i="15"/>
  <c r="C156" i="15"/>
  <c r="D155" i="15"/>
  <c r="C155" i="15"/>
  <c r="D154" i="15"/>
  <c r="C154" i="15"/>
  <c r="D153" i="15"/>
  <c r="C153" i="15"/>
  <c r="D151" i="15"/>
  <c r="C151" i="15"/>
  <c r="D150" i="15"/>
  <c r="D149" i="15"/>
  <c r="C149" i="15"/>
  <c r="D148" i="15"/>
  <c r="C148" i="15"/>
  <c r="D147" i="15"/>
  <c r="C147" i="15"/>
  <c r="D146" i="15"/>
  <c r="C146" i="15"/>
  <c r="D145" i="15"/>
  <c r="C145" i="15"/>
  <c r="D143" i="15"/>
  <c r="D142" i="15"/>
  <c r="C142" i="15"/>
  <c r="D141" i="15"/>
  <c r="D140" i="15"/>
  <c r="C140" i="15"/>
  <c r="D139" i="15"/>
  <c r="C139" i="15"/>
  <c r="D138" i="15"/>
  <c r="C138" i="15"/>
  <c r="C137" i="15"/>
  <c r="D136" i="15"/>
  <c r="C136" i="15"/>
  <c r="C135" i="15"/>
  <c r="D134" i="15"/>
  <c r="C134" i="15"/>
  <c r="D133" i="15"/>
  <c r="D132" i="15"/>
  <c r="C132" i="15"/>
  <c r="D131" i="15"/>
  <c r="C131" i="15"/>
  <c r="D130" i="15"/>
  <c r="C130" i="15"/>
  <c r="C129" i="15"/>
  <c r="D128" i="15"/>
  <c r="C128" i="15"/>
  <c r="C127" i="15"/>
  <c r="D126" i="15"/>
  <c r="C126" i="15"/>
  <c r="D125" i="15"/>
  <c r="D124" i="15"/>
  <c r="C124" i="15"/>
  <c r="D123" i="15"/>
  <c r="C123" i="15"/>
  <c r="D122" i="15"/>
  <c r="C122" i="15"/>
  <c r="C121" i="15"/>
  <c r="D120" i="15"/>
  <c r="C120" i="15"/>
  <c r="C119" i="15"/>
  <c r="D118" i="15"/>
  <c r="C118" i="15"/>
  <c r="D117" i="15"/>
  <c r="D116" i="15"/>
  <c r="C116" i="15"/>
  <c r="D115" i="15"/>
  <c r="C115" i="15"/>
  <c r="D114" i="15"/>
  <c r="C114" i="15"/>
  <c r="C113" i="15"/>
  <c r="D112" i="15"/>
  <c r="C112" i="15"/>
  <c r="C111" i="15"/>
  <c r="D110" i="15"/>
  <c r="C110" i="15"/>
  <c r="D109" i="15"/>
  <c r="D108" i="15"/>
  <c r="C108" i="15"/>
  <c r="D107" i="15"/>
  <c r="C107" i="15"/>
  <c r="D106" i="15"/>
  <c r="C106" i="15"/>
  <c r="C105" i="15"/>
  <c r="D104" i="15"/>
  <c r="C104" i="15"/>
  <c r="C103" i="15"/>
  <c r="D102" i="15"/>
  <c r="C102" i="15"/>
  <c r="D101" i="15"/>
  <c r="D100" i="15"/>
  <c r="C100" i="15"/>
  <c r="D99" i="15"/>
  <c r="C99" i="15"/>
  <c r="D98" i="15"/>
  <c r="C98" i="15"/>
  <c r="C97" i="15"/>
  <c r="D96" i="15"/>
  <c r="C96" i="15"/>
  <c r="C95" i="15"/>
  <c r="D94" i="15"/>
  <c r="C94" i="15"/>
  <c r="D93" i="15"/>
  <c r="D92" i="15"/>
  <c r="C92" i="15"/>
  <c r="D91" i="15"/>
  <c r="C91" i="15"/>
  <c r="D90" i="15"/>
  <c r="C90" i="15"/>
  <c r="C89" i="15"/>
  <c r="D88" i="15"/>
  <c r="C88" i="15"/>
  <c r="C87" i="15"/>
  <c r="D86" i="15"/>
  <c r="C86" i="15"/>
  <c r="D85" i="15"/>
  <c r="D84" i="15"/>
  <c r="C84" i="15"/>
  <c r="D83" i="15"/>
  <c r="C83" i="15"/>
  <c r="D82" i="15"/>
  <c r="C82" i="15"/>
  <c r="C81" i="15"/>
  <c r="D80" i="15"/>
  <c r="C80" i="15"/>
  <c r="C79" i="15"/>
  <c r="D78" i="15"/>
  <c r="C78" i="15"/>
  <c r="D77" i="15"/>
  <c r="D76" i="15"/>
  <c r="C76" i="15"/>
  <c r="D75" i="15"/>
  <c r="C75" i="15"/>
  <c r="D74" i="15"/>
  <c r="C74" i="15"/>
  <c r="C73" i="15"/>
  <c r="D72" i="15"/>
  <c r="C72" i="15"/>
  <c r="C71" i="15"/>
  <c r="D68" i="15"/>
  <c r="B68" i="15"/>
  <c r="D65" i="15"/>
  <c r="C65" i="15"/>
  <c r="C64" i="15"/>
  <c r="D63" i="15"/>
  <c r="C63" i="15"/>
  <c r="D62" i="15"/>
  <c r="C62" i="15"/>
  <c r="D61" i="15"/>
  <c r="C61" i="15"/>
  <c r="D60" i="15"/>
  <c r="C60" i="15"/>
  <c r="D59" i="15"/>
  <c r="C59" i="15"/>
  <c r="D57" i="15"/>
  <c r="C57" i="15"/>
  <c r="C56" i="15"/>
  <c r="D55" i="15"/>
  <c r="C55" i="15"/>
  <c r="D54" i="15"/>
  <c r="C54" i="15"/>
  <c r="D53" i="15"/>
  <c r="C53" i="15"/>
  <c r="D52" i="15"/>
  <c r="C52" i="15"/>
  <c r="D51" i="15"/>
  <c r="C51" i="15"/>
  <c r="D49" i="15"/>
  <c r="C49" i="15"/>
  <c r="C48" i="15"/>
  <c r="D47" i="15"/>
  <c r="C47" i="15"/>
  <c r="D46" i="15"/>
  <c r="C46" i="15"/>
  <c r="D45" i="15"/>
  <c r="C45" i="15"/>
  <c r="D44" i="15"/>
  <c r="C44" i="15"/>
  <c r="D43" i="15"/>
  <c r="C43" i="15"/>
  <c r="D41" i="15"/>
  <c r="C41" i="15"/>
  <c r="C40" i="15"/>
  <c r="C39" i="15" s="1"/>
  <c r="D37" i="15"/>
  <c r="C37" i="15"/>
  <c r="D36" i="15"/>
  <c r="C36" i="15"/>
  <c r="D35" i="15"/>
  <c r="C35" i="15"/>
  <c r="D33" i="15"/>
  <c r="C33" i="15"/>
  <c r="C31" i="15"/>
  <c r="D30" i="15"/>
  <c r="C30" i="15"/>
  <c r="D29" i="15"/>
  <c r="C29" i="15"/>
  <c r="D28" i="15"/>
  <c r="C28" i="15"/>
  <c r="D27" i="15"/>
  <c r="C27" i="15"/>
  <c r="D26" i="15"/>
  <c r="C25" i="15"/>
  <c r="D24" i="15"/>
  <c r="C23" i="15"/>
  <c r="C21" i="15" s="1"/>
  <c r="D22" i="15"/>
  <c r="C22" i="15"/>
  <c r="D11" i="15"/>
  <c r="E11" i="15" s="1"/>
  <c r="D5" i="15"/>
  <c r="P4" i="16" l="1"/>
  <c r="E15" i="15"/>
  <c r="D21" i="15"/>
  <c r="C70" i="16"/>
  <c r="E68" i="16"/>
  <c r="E70" i="16" s="1"/>
  <c r="M68" i="16"/>
  <c r="M70" i="16" s="1"/>
  <c r="C147" i="18"/>
  <c r="J147" i="18" s="1"/>
  <c r="J145" i="18"/>
  <c r="L59" i="16"/>
  <c r="L68" i="16" s="1"/>
  <c r="L70" i="16" s="1"/>
  <c r="D39" i="15"/>
  <c r="C18" i="15"/>
  <c r="N27" i="16"/>
  <c r="D70" i="15"/>
  <c r="N50" i="16"/>
  <c r="C9" i="15" s="1"/>
  <c r="E9" i="15" s="1"/>
  <c r="F59" i="16"/>
  <c r="F68" i="16"/>
  <c r="F70" i="16" s="1"/>
  <c r="O21" i="16"/>
  <c r="D7" i="15"/>
  <c r="E7" i="15" s="1"/>
  <c r="J54" i="18"/>
  <c r="C5" i="15" l="1"/>
  <c r="N59" i="16"/>
  <c r="N68" i="16"/>
  <c r="D18" i="15"/>
  <c r="E18" i="15" s="1"/>
  <c r="D13" i="15"/>
  <c r="D17" i="15" l="1"/>
  <c r="N70" i="16"/>
  <c r="O68" i="16"/>
  <c r="C13" i="15"/>
  <c r="C17" i="15" s="1"/>
  <c r="C19" i="15" s="1"/>
  <c r="E5" i="15"/>
  <c r="E17" i="15" l="1"/>
  <c r="D19" i="15"/>
  <c r="E19" i="15" s="1"/>
  <c r="E13" i="15"/>
  <c r="C46" i="13" l="1"/>
  <c r="C39" i="13"/>
  <c r="C31" i="13"/>
  <c r="C32" i="13" s="1"/>
  <c r="C25" i="13"/>
  <c r="J149" i="12"/>
  <c r="I147" i="12"/>
  <c r="J147" i="12" s="1"/>
  <c r="H147" i="12"/>
  <c r="G147" i="12"/>
  <c r="F147" i="12"/>
  <c r="E147" i="12"/>
  <c r="D147" i="12"/>
  <c r="C147" i="12"/>
  <c r="J146" i="12"/>
  <c r="D160" i="9" s="1"/>
  <c r="J145" i="12"/>
  <c r="D159" i="9" s="1"/>
  <c r="J144" i="12"/>
  <c r="J143" i="12"/>
  <c r="J142" i="12"/>
  <c r="J141" i="12"/>
  <c r="J140" i="12"/>
  <c r="J139" i="12"/>
  <c r="J138" i="12"/>
  <c r="D152" i="9" s="1"/>
  <c r="J137" i="12"/>
  <c r="D151" i="9" s="1"/>
  <c r="J136" i="12"/>
  <c r="J135" i="12"/>
  <c r="J134" i="12"/>
  <c r="J133" i="12"/>
  <c r="J132" i="12"/>
  <c r="J131" i="12"/>
  <c r="J130" i="12"/>
  <c r="J129" i="12"/>
  <c r="D143" i="9" s="1"/>
  <c r="J128" i="12"/>
  <c r="J127" i="12"/>
  <c r="J126" i="12"/>
  <c r="J125" i="12"/>
  <c r="J124" i="12"/>
  <c r="J123" i="12"/>
  <c r="J122" i="12"/>
  <c r="J121" i="12"/>
  <c r="D135" i="9" s="1"/>
  <c r="J120" i="12"/>
  <c r="J119" i="12"/>
  <c r="J118" i="12"/>
  <c r="J117" i="12"/>
  <c r="J116" i="12"/>
  <c r="J115" i="12"/>
  <c r="J114" i="12"/>
  <c r="J113" i="12"/>
  <c r="D127" i="9" s="1"/>
  <c r="J112" i="12"/>
  <c r="J111" i="12"/>
  <c r="J110" i="12"/>
  <c r="J109" i="12"/>
  <c r="J108" i="12"/>
  <c r="J107" i="12"/>
  <c r="J106" i="12"/>
  <c r="J105" i="12"/>
  <c r="D119" i="9" s="1"/>
  <c r="J104" i="12"/>
  <c r="J103" i="12"/>
  <c r="J102" i="12"/>
  <c r="J101" i="12"/>
  <c r="J100" i="12"/>
  <c r="J99" i="12"/>
  <c r="J98" i="12"/>
  <c r="J97" i="12"/>
  <c r="D111" i="9" s="1"/>
  <c r="J96" i="12"/>
  <c r="J95" i="12"/>
  <c r="J94" i="12"/>
  <c r="J93" i="12"/>
  <c r="J92" i="12"/>
  <c r="J91" i="12"/>
  <c r="J90" i="12"/>
  <c r="J89" i="12"/>
  <c r="D103" i="9" s="1"/>
  <c r="J88" i="12"/>
  <c r="J87" i="12"/>
  <c r="J86" i="12"/>
  <c r="J85" i="12"/>
  <c r="J84" i="12"/>
  <c r="J83" i="12"/>
  <c r="J82" i="12"/>
  <c r="J81" i="12"/>
  <c r="D95" i="9" s="1"/>
  <c r="J80" i="12"/>
  <c r="J79" i="12"/>
  <c r="J78" i="12"/>
  <c r="J77" i="12"/>
  <c r="J76" i="12"/>
  <c r="J75" i="12"/>
  <c r="J74" i="12"/>
  <c r="J73" i="12"/>
  <c r="D87" i="9" s="1"/>
  <c r="J72" i="12"/>
  <c r="J71" i="12"/>
  <c r="J70" i="12"/>
  <c r="J69" i="12"/>
  <c r="J68" i="12"/>
  <c r="J67" i="12"/>
  <c r="J66" i="12"/>
  <c r="J65" i="12"/>
  <c r="D79" i="9" s="1"/>
  <c r="D72" i="9" s="1"/>
  <c r="J64" i="12"/>
  <c r="J63" i="12"/>
  <c r="J62" i="12"/>
  <c r="J61" i="12"/>
  <c r="J60" i="12"/>
  <c r="J59" i="12"/>
  <c r="I57" i="12"/>
  <c r="I148" i="12" s="1"/>
  <c r="I150" i="12" s="1"/>
  <c r="H57" i="12"/>
  <c r="H148" i="12" s="1"/>
  <c r="H150" i="12" s="1"/>
  <c r="J56" i="12"/>
  <c r="J55" i="12"/>
  <c r="D70" i="9" s="1"/>
  <c r="I54" i="12"/>
  <c r="H54" i="12"/>
  <c r="G54" i="12"/>
  <c r="G57" i="12" s="1"/>
  <c r="G148" i="12" s="1"/>
  <c r="G150" i="12" s="1"/>
  <c r="F54" i="12"/>
  <c r="F57" i="12" s="1"/>
  <c r="F148" i="12" s="1"/>
  <c r="F150" i="12" s="1"/>
  <c r="E54" i="12"/>
  <c r="E57" i="12" s="1"/>
  <c r="E148" i="12" s="1"/>
  <c r="E150" i="12" s="1"/>
  <c r="D54" i="12"/>
  <c r="D57" i="12" s="1"/>
  <c r="D148" i="12" s="1"/>
  <c r="D150" i="12" s="1"/>
  <c r="C54" i="12"/>
  <c r="J54" i="12" s="1"/>
  <c r="J53" i="12"/>
  <c r="J52" i="12"/>
  <c r="J51" i="12"/>
  <c r="J50" i="12"/>
  <c r="J49" i="12"/>
  <c r="J48" i="12"/>
  <c r="J47" i="12"/>
  <c r="J46" i="12"/>
  <c r="D61" i="9" s="1"/>
  <c r="J45" i="12"/>
  <c r="J44" i="12"/>
  <c r="J43" i="12"/>
  <c r="J42" i="12"/>
  <c r="J41" i="12"/>
  <c r="J40" i="12"/>
  <c r="J39" i="12"/>
  <c r="J38" i="12"/>
  <c r="D53" i="9" s="1"/>
  <c r="J37" i="12"/>
  <c r="J36" i="12"/>
  <c r="J35" i="12"/>
  <c r="J34" i="12"/>
  <c r="J33" i="12"/>
  <c r="J32" i="12"/>
  <c r="J31" i="12"/>
  <c r="J30" i="12"/>
  <c r="D45" i="9" s="1"/>
  <c r="J29" i="12"/>
  <c r="J28" i="12"/>
  <c r="J27" i="12"/>
  <c r="J26" i="12"/>
  <c r="J25" i="12"/>
  <c r="J24" i="12"/>
  <c r="J23" i="12"/>
  <c r="J21" i="12"/>
  <c r="J20" i="12"/>
  <c r="J19" i="12"/>
  <c r="J18" i="12"/>
  <c r="J17" i="12"/>
  <c r="J16" i="12"/>
  <c r="J15" i="12"/>
  <c r="J14" i="12"/>
  <c r="D29" i="9" s="1"/>
  <c r="J13" i="12"/>
  <c r="D28" i="9" s="1"/>
  <c r="J12" i="12"/>
  <c r="J11" i="12"/>
  <c r="J10" i="12"/>
  <c r="J9" i="12"/>
  <c r="J8" i="12"/>
  <c r="J7" i="12"/>
  <c r="J6" i="12"/>
  <c r="D21" i="9" s="1"/>
  <c r="J2" i="12"/>
  <c r="B1" i="12"/>
  <c r="G83" i="11"/>
  <c r="C82" i="11"/>
  <c r="H80" i="11"/>
  <c r="G80" i="11"/>
  <c r="F80" i="11"/>
  <c r="E80" i="11"/>
  <c r="D80" i="11"/>
  <c r="H71" i="11"/>
  <c r="G71" i="11"/>
  <c r="G74" i="11" s="1"/>
  <c r="F71" i="11"/>
  <c r="D14" i="9" s="1"/>
  <c r="E71" i="11"/>
  <c r="D71" i="11"/>
  <c r="H67" i="11"/>
  <c r="G67" i="11"/>
  <c r="F67" i="11"/>
  <c r="E67" i="11"/>
  <c r="D67" i="11"/>
  <c r="H57" i="11"/>
  <c r="D8" i="9" s="1"/>
  <c r="G57" i="11"/>
  <c r="F57" i="11"/>
  <c r="E57" i="11"/>
  <c r="D57" i="11"/>
  <c r="H49" i="11"/>
  <c r="G49" i="11"/>
  <c r="F49" i="11"/>
  <c r="F74" i="11" s="1"/>
  <c r="E49" i="11"/>
  <c r="D49" i="11"/>
  <c r="H33" i="11"/>
  <c r="H74" i="11" s="1"/>
  <c r="G33" i="11"/>
  <c r="F33" i="11"/>
  <c r="E33" i="11"/>
  <c r="E74" i="11" s="1"/>
  <c r="D33" i="11"/>
  <c r="D74" i="11" s="1"/>
  <c r="P201" i="10"/>
  <c r="P200" i="10"/>
  <c r="C160" i="9" s="1"/>
  <c r="P199" i="10"/>
  <c r="P198" i="10"/>
  <c r="C158" i="9" s="1"/>
  <c r="P197" i="10"/>
  <c r="P196" i="10"/>
  <c r="P195" i="10"/>
  <c r="P194" i="10"/>
  <c r="P193" i="10"/>
  <c r="P192" i="10"/>
  <c r="C152" i="9" s="1"/>
  <c r="P191" i="10"/>
  <c r="P190" i="10"/>
  <c r="C150" i="9" s="1"/>
  <c r="P189" i="10"/>
  <c r="P188" i="10"/>
  <c r="P187" i="10"/>
  <c r="P186" i="10"/>
  <c r="P185" i="10"/>
  <c r="P184" i="10"/>
  <c r="C144" i="9" s="1"/>
  <c r="P183" i="10"/>
  <c r="P182" i="10"/>
  <c r="P181" i="10"/>
  <c r="P180" i="10"/>
  <c r="P179" i="10"/>
  <c r="P178" i="10"/>
  <c r="P177" i="10"/>
  <c r="P176" i="10"/>
  <c r="C136" i="9" s="1"/>
  <c r="P175" i="10"/>
  <c r="P174" i="10"/>
  <c r="P173" i="10"/>
  <c r="P172" i="10"/>
  <c r="P171" i="10"/>
  <c r="P170" i="10"/>
  <c r="P169" i="10"/>
  <c r="P168" i="10"/>
  <c r="C128" i="9" s="1"/>
  <c r="P167" i="10"/>
  <c r="P166" i="10"/>
  <c r="P165" i="10"/>
  <c r="P164" i="10"/>
  <c r="P163" i="10"/>
  <c r="P162" i="10"/>
  <c r="P161" i="10"/>
  <c r="P160" i="10"/>
  <c r="C120" i="9" s="1"/>
  <c r="P159" i="10"/>
  <c r="P158" i="10"/>
  <c r="P157" i="10"/>
  <c r="P156" i="10"/>
  <c r="P155" i="10"/>
  <c r="P154" i="10"/>
  <c r="P153" i="10"/>
  <c r="P152" i="10"/>
  <c r="C112" i="9" s="1"/>
  <c r="P151" i="10"/>
  <c r="P150" i="10"/>
  <c r="P149" i="10"/>
  <c r="P148" i="10"/>
  <c r="P147" i="10"/>
  <c r="P146" i="10"/>
  <c r="P145" i="10"/>
  <c r="P144" i="10"/>
  <c r="C104" i="9" s="1"/>
  <c r="P143" i="10"/>
  <c r="P142" i="10"/>
  <c r="P141" i="10"/>
  <c r="P140" i="10"/>
  <c r="P139" i="10"/>
  <c r="P138" i="10"/>
  <c r="P137" i="10"/>
  <c r="P136" i="10"/>
  <c r="C96" i="9" s="1"/>
  <c r="P135" i="10"/>
  <c r="P134" i="10"/>
  <c r="P133" i="10"/>
  <c r="P132" i="10"/>
  <c r="P131" i="10"/>
  <c r="P130" i="10"/>
  <c r="P129" i="10"/>
  <c r="P128" i="10"/>
  <c r="C88" i="9" s="1"/>
  <c r="P127" i="10"/>
  <c r="P126" i="10"/>
  <c r="P125" i="10"/>
  <c r="P124" i="10"/>
  <c r="P123" i="10"/>
  <c r="P122" i="10"/>
  <c r="P121" i="10"/>
  <c r="P120" i="10"/>
  <c r="C80" i="9" s="1"/>
  <c r="P119" i="10"/>
  <c r="P118" i="10"/>
  <c r="P117" i="10"/>
  <c r="P116" i="10"/>
  <c r="P115" i="10"/>
  <c r="P114" i="10"/>
  <c r="P113" i="10"/>
  <c r="P110" i="10"/>
  <c r="P109" i="10"/>
  <c r="P108" i="10"/>
  <c r="C63" i="9" s="1"/>
  <c r="P107" i="10"/>
  <c r="P106" i="10"/>
  <c r="P105" i="10"/>
  <c r="P104" i="10"/>
  <c r="P103" i="10"/>
  <c r="C58" i="9" s="1"/>
  <c r="P102" i="10"/>
  <c r="P101" i="10"/>
  <c r="P100" i="10"/>
  <c r="C55" i="9" s="1"/>
  <c r="P99" i="10"/>
  <c r="P98" i="10"/>
  <c r="P97" i="10"/>
  <c r="C52" i="9" s="1"/>
  <c r="P96" i="10"/>
  <c r="P95" i="10"/>
  <c r="C50" i="9" s="1"/>
  <c r="P94" i="10"/>
  <c r="P93" i="10"/>
  <c r="P92" i="10"/>
  <c r="C47" i="9" s="1"/>
  <c r="P91" i="10"/>
  <c r="P90" i="10"/>
  <c r="P89" i="10"/>
  <c r="P88" i="10"/>
  <c r="P87" i="10"/>
  <c r="C42" i="9" s="1"/>
  <c r="P86" i="10"/>
  <c r="P85" i="10"/>
  <c r="P84" i="10"/>
  <c r="C39" i="9" s="1"/>
  <c r="P83" i="10"/>
  <c r="P80" i="10"/>
  <c r="P79" i="10"/>
  <c r="C34" i="9" s="1"/>
  <c r="P78" i="10"/>
  <c r="P77" i="10"/>
  <c r="P76" i="10"/>
  <c r="C31" i="9" s="1"/>
  <c r="P75" i="10"/>
  <c r="P74" i="10"/>
  <c r="P73" i="10"/>
  <c r="P72" i="10"/>
  <c r="P71" i="10"/>
  <c r="C26" i="9" s="1"/>
  <c r="P70" i="10"/>
  <c r="P69" i="10"/>
  <c r="P68" i="10"/>
  <c r="C23" i="9" s="1"/>
  <c r="P67" i="10"/>
  <c r="P66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P62" i="10" s="1"/>
  <c r="Q62" i="10" s="1"/>
  <c r="O59" i="10"/>
  <c r="N59" i="10"/>
  <c r="N61" i="10" s="1"/>
  <c r="N63" i="10" s="1"/>
  <c r="M59" i="10"/>
  <c r="L59" i="10"/>
  <c r="K59" i="10"/>
  <c r="J59" i="10"/>
  <c r="I59" i="10"/>
  <c r="H59" i="10"/>
  <c r="G59" i="10"/>
  <c r="F59" i="10"/>
  <c r="F61" i="10" s="1"/>
  <c r="F63" i="10" s="1"/>
  <c r="E59" i="10"/>
  <c r="D59" i="10"/>
  <c r="C59" i="10"/>
  <c r="Q57" i="10"/>
  <c r="P57" i="10"/>
  <c r="Q56" i="10"/>
  <c r="P56" i="10"/>
  <c r="Q55" i="10"/>
  <c r="P55" i="10"/>
  <c r="L53" i="10"/>
  <c r="L61" i="10" s="1"/>
  <c r="L63" i="10" s="1"/>
  <c r="K53" i="10"/>
  <c r="K61" i="10" s="1"/>
  <c r="K63" i="10" s="1"/>
  <c r="D53" i="10"/>
  <c r="D61" i="10" s="1"/>
  <c r="D63" i="10" s="1"/>
  <c r="C53" i="10"/>
  <c r="C61" i="10" s="1"/>
  <c r="O51" i="10"/>
  <c r="O53" i="10" s="1"/>
  <c r="N51" i="10"/>
  <c r="M51" i="10"/>
  <c r="L51" i="10"/>
  <c r="K51" i="10"/>
  <c r="J51" i="10"/>
  <c r="J53" i="10" s="1"/>
  <c r="J61" i="10" s="1"/>
  <c r="J63" i="10" s="1"/>
  <c r="I51" i="10"/>
  <c r="I53" i="10" s="1"/>
  <c r="I61" i="10" s="1"/>
  <c r="I63" i="10" s="1"/>
  <c r="H51" i="10"/>
  <c r="H53" i="10" s="1"/>
  <c r="G51" i="10"/>
  <c r="G53" i="10" s="1"/>
  <c r="F51" i="10"/>
  <c r="E51" i="10"/>
  <c r="D51" i="10"/>
  <c r="C51" i="10"/>
  <c r="P51" i="10" s="1"/>
  <c r="C10" i="9" s="1"/>
  <c r="E10" i="9" s="1"/>
  <c r="Q49" i="10"/>
  <c r="P49" i="10"/>
  <c r="Q48" i="10"/>
  <c r="P48" i="10"/>
  <c r="Q47" i="10"/>
  <c r="P47" i="10"/>
  <c r="O45" i="10"/>
  <c r="N45" i="10"/>
  <c r="N53" i="10" s="1"/>
  <c r="M45" i="10"/>
  <c r="M53" i="10" s="1"/>
  <c r="L45" i="10"/>
  <c r="K45" i="10"/>
  <c r="J45" i="10"/>
  <c r="I45" i="10"/>
  <c r="H45" i="10"/>
  <c r="G45" i="10"/>
  <c r="F45" i="10"/>
  <c r="F53" i="10" s="1"/>
  <c r="E45" i="10"/>
  <c r="E53" i="10" s="1"/>
  <c r="D45" i="10"/>
  <c r="C45" i="10"/>
  <c r="P45" i="10" s="1"/>
  <c r="C8" i="9" s="1"/>
  <c r="Q43" i="10"/>
  <c r="P43" i="10"/>
  <c r="Q42" i="10"/>
  <c r="P42" i="10"/>
  <c r="Q41" i="10"/>
  <c r="P41" i="10"/>
  <c r="Q40" i="10"/>
  <c r="P40" i="10"/>
  <c r="Q39" i="10"/>
  <c r="P39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P37" i="10" s="1"/>
  <c r="C6" i="9" s="1"/>
  <c r="Q35" i="10"/>
  <c r="P35" i="10"/>
  <c r="Q34" i="10"/>
  <c r="P34" i="10"/>
  <c r="Q33" i="10"/>
  <c r="P33" i="10"/>
  <c r="Q32" i="10"/>
  <c r="P32" i="10"/>
  <c r="Q31" i="10"/>
  <c r="P31" i="10"/>
  <c r="Q30" i="10"/>
  <c r="P30" i="10"/>
  <c r="Q29" i="10"/>
  <c r="P29" i="10"/>
  <c r="Q28" i="10"/>
  <c r="P28" i="10"/>
  <c r="Q27" i="10"/>
  <c r="P27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P25" i="10" s="1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R9" i="10" s="1"/>
  <c r="P9" i="10"/>
  <c r="R8" i="10"/>
  <c r="Q8" i="10"/>
  <c r="P8" i="10"/>
  <c r="R7" i="10"/>
  <c r="Q7" i="10"/>
  <c r="P7" i="10"/>
  <c r="R6" i="10"/>
  <c r="Q6" i="10"/>
  <c r="P6" i="10"/>
  <c r="Q5" i="10"/>
  <c r="R5" i="10" s="1"/>
  <c r="R4" i="10" s="1"/>
  <c r="P5" i="10"/>
  <c r="D161" i="9"/>
  <c r="B161" i="9"/>
  <c r="C159" i="9"/>
  <c r="D158" i="9"/>
  <c r="D157" i="9"/>
  <c r="C157" i="9"/>
  <c r="D156" i="9"/>
  <c r="C156" i="9"/>
  <c r="D155" i="9"/>
  <c r="C155" i="9"/>
  <c r="D154" i="9"/>
  <c r="C154" i="9"/>
  <c r="D153" i="9"/>
  <c r="C153" i="9"/>
  <c r="C151" i="9"/>
  <c r="D150" i="9"/>
  <c r="D149" i="9"/>
  <c r="C149" i="9"/>
  <c r="D148" i="9"/>
  <c r="C148" i="9"/>
  <c r="D147" i="9"/>
  <c r="C147" i="9"/>
  <c r="D146" i="9"/>
  <c r="C146" i="9"/>
  <c r="D145" i="9"/>
  <c r="D144" i="9"/>
  <c r="C143" i="9"/>
  <c r="D142" i="9"/>
  <c r="C142" i="9"/>
  <c r="D141" i="9"/>
  <c r="C141" i="9"/>
  <c r="D140" i="9"/>
  <c r="C140" i="9"/>
  <c r="D139" i="9"/>
  <c r="C139" i="9"/>
  <c r="D138" i="9"/>
  <c r="C138" i="9"/>
  <c r="D137" i="9"/>
  <c r="C137" i="9"/>
  <c r="D136" i="9"/>
  <c r="C135" i="9"/>
  <c r="D134" i="9"/>
  <c r="C134" i="9"/>
  <c r="D133" i="9"/>
  <c r="C133" i="9"/>
  <c r="D132" i="9"/>
  <c r="C132" i="9"/>
  <c r="D131" i="9"/>
  <c r="C131" i="9"/>
  <c r="D130" i="9"/>
  <c r="C130" i="9"/>
  <c r="D129" i="9"/>
  <c r="C129" i="9"/>
  <c r="D128" i="9"/>
  <c r="C127" i="9"/>
  <c r="D126" i="9"/>
  <c r="C126" i="9"/>
  <c r="D125" i="9"/>
  <c r="C125" i="9"/>
  <c r="D124" i="9"/>
  <c r="C124" i="9"/>
  <c r="D123" i="9"/>
  <c r="C123" i="9"/>
  <c r="D122" i="9"/>
  <c r="C122" i="9"/>
  <c r="D121" i="9"/>
  <c r="C121" i="9"/>
  <c r="D120" i="9"/>
  <c r="C119" i="9"/>
  <c r="D118" i="9"/>
  <c r="C118" i="9"/>
  <c r="D117" i="9"/>
  <c r="C117" i="9"/>
  <c r="D116" i="9"/>
  <c r="C116" i="9"/>
  <c r="D115" i="9"/>
  <c r="C115" i="9"/>
  <c r="D114" i="9"/>
  <c r="C114" i="9"/>
  <c r="D113" i="9"/>
  <c r="C113" i="9"/>
  <c r="D112" i="9"/>
  <c r="C111" i="9"/>
  <c r="D110" i="9"/>
  <c r="C110" i="9"/>
  <c r="D109" i="9"/>
  <c r="C109" i="9"/>
  <c r="D108" i="9"/>
  <c r="C108" i="9"/>
  <c r="D107" i="9"/>
  <c r="C107" i="9"/>
  <c r="D106" i="9"/>
  <c r="C106" i="9"/>
  <c r="D105" i="9"/>
  <c r="C105" i="9"/>
  <c r="D104" i="9"/>
  <c r="C103" i="9"/>
  <c r="D102" i="9"/>
  <c r="C102" i="9"/>
  <c r="D101" i="9"/>
  <c r="C101" i="9"/>
  <c r="D100" i="9"/>
  <c r="C100" i="9"/>
  <c r="D99" i="9"/>
  <c r="C99" i="9"/>
  <c r="D98" i="9"/>
  <c r="C98" i="9"/>
  <c r="D97" i="9"/>
  <c r="C97" i="9"/>
  <c r="D96" i="9"/>
  <c r="C95" i="9"/>
  <c r="D94" i="9"/>
  <c r="C94" i="9"/>
  <c r="D93" i="9"/>
  <c r="C93" i="9"/>
  <c r="D92" i="9"/>
  <c r="C92" i="9"/>
  <c r="D91" i="9"/>
  <c r="C91" i="9"/>
  <c r="D90" i="9"/>
  <c r="C90" i="9"/>
  <c r="D89" i="9"/>
  <c r="C89" i="9"/>
  <c r="D88" i="9"/>
  <c r="C87" i="9"/>
  <c r="D86" i="9"/>
  <c r="C86" i="9"/>
  <c r="D85" i="9"/>
  <c r="C85" i="9"/>
  <c r="D84" i="9"/>
  <c r="C84" i="9"/>
  <c r="D83" i="9"/>
  <c r="C83" i="9"/>
  <c r="D82" i="9"/>
  <c r="C82" i="9"/>
  <c r="D81" i="9"/>
  <c r="C81" i="9"/>
  <c r="D80" i="9"/>
  <c r="C79" i="9"/>
  <c r="D78" i="9"/>
  <c r="C78" i="9"/>
  <c r="D77" i="9"/>
  <c r="C77" i="9"/>
  <c r="D76" i="9"/>
  <c r="C76" i="9"/>
  <c r="D75" i="9"/>
  <c r="C75" i="9"/>
  <c r="D74" i="9"/>
  <c r="C74" i="9"/>
  <c r="D73" i="9"/>
  <c r="C73" i="9"/>
  <c r="C72" i="9" s="1"/>
  <c r="B70" i="9"/>
  <c r="D68" i="9"/>
  <c r="D67" i="9"/>
  <c r="D66" i="9"/>
  <c r="D65" i="9"/>
  <c r="C65" i="9"/>
  <c r="D64" i="9"/>
  <c r="C64" i="9"/>
  <c r="D63" i="9"/>
  <c r="D62" i="9"/>
  <c r="C62" i="9"/>
  <c r="C61" i="9"/>
  <c r="D60" i="9"/>
  <c r="C60" i="9"/>
  <c r="D59" i="9"/>
  <c r="C59" i="9"/>
  <c r="D58" i="9"/>
  <c r="D57" i="9"/>
  <c r="C57" i="9"/>
  <c r="D56" i="9"/>
  <c r="C56" i="9"/>
  <c r="D55" i="9"/>
  <c r="D54" i="9"/>
  <c r="C54" i="9"/>
  <c r="C53" i="9"/>
  <c r="D52" i="9"/>
  <c r="D51" i="9"/>
  <c r="C51" i="9"/>
  <c r="D50" i="9"/>
  <c r="D49" i="9"/>
  <c r="C49" i="9"/>
  <c r="D48" i="9"/>
  <c r="C48" i="9"/>
  <c r="D47" i="9"/>
  <c r="D46" i="9"/>
  <c r="C46" i="9"/>
  <c r="C45" i="9"/>
  <c r="D44" i="9"/>
  <c r="C44" i="9"/>
  <c r="D43" i="9"/>
  <c r="C43" i="9"/>
  <c r="D42" i="9"/>
  <c r="D41" i="9"/>
  <c r="C41" i="9"/>
  <c r="D40" i="9"/>
  <c r="C40" i="9"/>
  <c r="D39" i="9"/>
  <c r="C38" i="9"/>
  <c r="D35" i="9"/>
  <c r="C35" i="9"/>
  <c r="D34" i="9"/>
  <c r="D33" i="9"/>
  <c r="C33" i="9"/>
  <c r="D32" i="9"/>
  <c r="C32" i="9"/>
  <c r="D31" i="9"/>
  <c r="D30" i="9"/>
  <c r="C30" i="9"/>
  <c r="C29" i="9"/>
  <c r="C28" i="9"/>
  <c r="D27" i="9"/>
  <c r="C27" i="9"/>
  <c r="D26" i="9"/>
  <c r="D25" i="9"/>
  <c r="C25" i="9"/>
  <c r="D24" i="9"/>
  <c r="C24" i="9"/>
  <c r="D23" i="9"/>
  <c r="D22" i="9"/>
  <c r="C22" i="9"/>
  <c r="C21" i="9"/>
  <c r="D6" i="9"/>
  <c r="D4" i="9"/>
  <c r="D20" i="9" l="1"/>
  <c r="D17" i="9" s="1"/>
  <c r="E17" i="9" s="1"/>
  <c r="E61" i="10"/>
  <c r="E63" i="10" s="1"/>
  <c r="M61" i="10"/>
  <c r="M63" i="10" s="1"/>
  <c r="C37" i="9"/>
  <c r="C63" i="10"/>
  <c r="E6" i="9"/>
  <c r="C4" i="9"/>
  <c r="C12" i="9" s="1"/>
  <c r="C16" i="9" s="1"/>
  <c r="C18" i="9" s="1"/>
  <c r="P53" i="10"/>
  <c r="G61" i="10"/>
  <c r="G63" i="10" s="1"/>
  <c r="O61" i="10"/>
  <c r="O63" i="10" s="1"/>
  <c r="C20" i="9"/>
  <c r="C17" i="9" s="1"/>
  <c r="E8" i="9"/>
  <c r="E14" i="9"/>
  <c r="D37" i="9"/>
  <c r="H61" i="10"/>
  <c r="H63" i="10" s="1"/>
  <c r="P59" i="10"/>
  <c r="C14" i="9" s="1"/>
  <c r="C57" i="12"/>
  <c r="D12" i="9"/>
  <c r="P61" i="10" l="1"/>
  <c r="E4" i="9"/>
  <c r="D16" i="9"/>
  <c r="E12" i="9"/>
  <c r="C148" i="12"/>
  <c r="J57" i="12"/>
  <c r="C150" i="12" l="1"/>
  <c r="J150" i="12" s="1"/>
  <c r="J148" i="12"/>
  <c r="D18" i="9"/>
  <c r="E18" i="9" s="1"/>
  <c r="E16" i="9"/>
  <c r="Q61" i="10"/>
  <c r="P63" i="10"/>
  <c r="J150" i="7" l="1"/>
  <c r="J147" i="7"/>
  <c r="I145" i="7"/>
  <c r="H145" i="7"/>
  <c r="G145" i="7"/>
  <c r="F145" i="7"/>
  <c r="E145" i="7"/>
  <c r="E146" i="7" s="1"/>
  <c r="E148" i="7" s="1"/>
  <c r="D145" i="7"/>
  <c r="C145" i="7"/>
  <c r="J145" i="7" s="1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8" i="7"/>
  <c r="J127" i="7"/>
  <c r="J126" i="7"/>
  <c r="J125" i="7"/>
  <c r="J124" i="7"/>
  <c r="J123" i="7"/>
  <c r="J122" i="7"/>
  <c r="D136" i="4" s="1"/>
  <c r="J121" i="7"/>
  <c r="J120" i="7"/>
  <c r="J119" i="7"/>
  <c r="J118" i="7"/>
  <c r="J117" i="7"/>
  <c r="J116" i="7"/>
  <c r="J115" i="7"/>
  <c r="J114" i="7"/>
  <c r="D128" i="4" s="1"/>
  <c r="J113" i="7"/>
  <c r="J112" i="7"/>
  <c r="J111" i="7"/>
  <c r="J110" i="7"/>
  <c r="J109" i="7"/>
  <c r="J108" i="7"/>
  <c r="J107" i="7"/>
  <c r="J106" i="7"/>
  <c r="D120" i="4" s="1"/>
  <c r="J105" i="7"/>
  <c r="J104" i="7"/>
  <c r="J103" i="7"/>
  <c r="J102" i="7"/>
  <c r="J101" i="7"/>
  <c r="J100" i="7"/>
  <c r="J99" i="7"/>
  <c r="J98" i="7"/>
  <c r="D112" i="4" s="1"/>
  <c r="J97" i="7"/>
  <c r="J96" i="7"/>
  <c r="J95" i="7"/>
  <c r="J94" i="7"/>
  <c r="J93" i="7"/>
  <c r="J92" i="7"/>
  <c r="J91" i="7"/>
  <c r="J90" i="7"/>
  <c r="D104" i="4" s="1"/>
  <c r="J89" i="7"/>
  <c r="J88" i="7"/>
  <c r="J87" i="7"/>
  <c r="J86" i="7"/>
  <c r="J85" i="7"/>
  <c r="J84" i="7"/>
  <c r="J83" i="7"/>
  <c r="J82" i="7"/>
  <c r="D96" i="4" s="1"/>
  <c r="J81" i="7"/>
  <c r="J80" i="7"/>
  <c r="J79" i="7"/>
  <c r="J77" i="7"/>
  <c r="J76" i="7"/>
  <c r="J75" i="7"/>
  <c r="J74" i="7"/>
  <c r="J73" i="7"/>
  <c r="D87" i="4" s="1"/>
  <c r="J72" i="7"/>
  <c r="J71" i="7"/>
  <c r="J70" i="7"/>
  <c r="J69" i="7"/>
  <c r="J68" i="7"/>
  <c r="J67" i="7"/>
  <c r="J66" i="7"/>
  <c r="J65" i="7"/>
  <c r="D79" i="4" s="1"/>
  <c r="J64" i="7"/>
  <c r="J63" i="7"/>
  <c r="J62" i="7"/>
  <c r="J61" i="7"/>
  <c r="J60" i="7"/>
  <c r="J59" i="7"/>
  <c r="J58" i="7"/>
  <c r="J57" i="7"/>
  <c r="D71" i="4" s="1"/>
  <c r="J56" i="7"/>
  <c r="E54" i="7"/>
  <c r="D54" i="7"/>
  <c r="D146" i="7" s="1"/>
  <c r="D148" i="7" s="1"/>
  <c r="J53" i="7"/>
  <c r="J52" i="7"/>
  <c r="I51" i="7"/>
  <c r="I54" i="7" s="1"/>
  <c r="I146" i="7" s="1"/>
  <c r="I148" i="7" s="1"/>
  <c r="H51" i="7"/>
  <c r="H54" i="7" s="1"/>
  <c r="H146" i="7" s="1"/>
  <c r="H148" i="7" s="1"/>
  <c r="G51" i="7"/>
  <c r="G54" i="7" s="1"/>
  <c r="G146" i="7" s="1"/>
  <c r="G148" i="7" s="1"/>
  <c r="F51" i="7"/>
  <c r="F54" i="7" s="1"/>
  <c r="F146" i="7" s="1"/>
  <c r="F148" i="7" s="1"/>
  <c r="E51" i="7"/>
  <c r="D51" i="7"/>
  <c r="C51" i="7"/>
  <c r="C54" i="7" s="1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8" i="7"/>
  <c r="J17" i="7"/>
  <c r="J16" i="7"/>
  <c r="J15" i="7"/>
  <c r="J14" i="7"/>
  <c r="J13" i="7"/>
  <c r="D32" i="4" s="1"/>
  <c r="J12" i="7"/>
  <c r="J11" i="7"/>
  <c r="J10" i="7"/>
  <c r="J9" i="7"/>
  <c r="J8" i="7"/>
  <c r="J7" i="7"/>
  <c r="J6" i="7"/>
  <c r="J5" i="7"/>
  <c r="D24" i="4" s="1"/>
  <c r="J4" i="7"/>
  <c r="J3" i="7"/>
  <c r="G81" i="6"/>
  <c r="C81" i="6"/>
  <c r="B150" i="7" s="1"/>
  <c r="H79" i="6"/>
  <c r="G79" i="6"/>
  <c r="F79" i="6"/>
  <c r="E79" i="6"/>
  <c r="D79" i="6"/>
  <c r="H71" i="6"/>
  <c r="G71" i="6"/>
  <c r="G74" i="6" s="1"/>
  <c r="F71" i="6"/>
  <c r="E71" i="6"/>
  <c r="D71" i="6"/>
  <c r="H67" i="6"/>
  <c r="G67" i="6"/>
  <c r="F67" i="6"/>
  <c r="E67" i="6"/>
  <c r="E74" i="6" s="1"/>
  <c r="D67" i="6"/>
  <c r="H57" i="6"/>
  <c r="G57" i="6"/>
  <c r="F57" i="6"/>
  <c r="D9" i="4" s="1"/>
  <c r="E57" i="6"/>
  <c r="D57" i="6"/>
  <c r="H49" i="6"/>
  <c r="G49" i="6"/>
  <c r="F49" i="6"/>
  <c r="D7" i="4" s="1"/>
  <c r="E49" i="6"/>
  <c r="D49" i="6"/>
  <c r="H33" i="6"/>
  <c r="H74" i="6" s="1"/>
  <c r="G33" i="6"/>
  <c r="F33" i="6"/>
  <c r="F74" i="6" s="1"/>
  <c r="E33" i="6"/>
  <c r="D33" i="6"/>
  <c r="D74" i="6" s="1"/>
  <c r="W196" i="5"/>
  <c r="C158" i="4" s="1"/>
  <c r="W195" i="5"/>
  <c r="W194" i="5"/>
  <c r="W193" i="5"/>
  <c r="W192" i="5"/>
  <c r="W191" i="5"/>
  <c r="W190" i="5"/>
  <c r="W189" i="5"/>
  <c r="W188" i="5"/>
  <c r="C150" i="4" s="1"/>
  <c r="W187" i="5"/>
  <c r="W186" i="5"/>
  <c r="W185" i="5"/>
  <c r="W184" i="5"/>
  <c r="W183" i="5"/>
  <c r="W182" i="5"/>
  <c r="W181" i="5"/>
  <c r="W180" i="5"/>
  <c r="C142" i="4" s="1"/>
  <c r="W179" i="5"/>
  <c r="W178" i="5"/>
  <c r="W177" i="5"/>
  <c r="W176" i="5"/>
  <c r="W175" i="5"/>
  <c r="W174" i="5"/>
  <c r="W173" i="5"/>
  <c r="W172" i="5"/>
  <c r="C134" i="4" s="1"/>
  <c r="W171" i="5"/>
  <c r="W170" i="5"/>
  <c r="W169" i="5"/>
  <c r="W168" i="5"/>
  <c r="W167" i="5"/>
  <c r="W166" i="5"/>
  <c r="W165" i="5"/>
  <c r="W164" i="5"/>
  <c r="C126" i="4" s="1"/>
  <c r="W163" i="5"/>
  <c r="W162" i="5"/>
  <c r="W161" i="5"/>
  <c r="W160" i="5"/>
  <c r="W159" i="5"/>
  <c r="W158" i="5"/>
  <c r="W157" i="5"/>
  <c r="W156" i="5"/>
  <c r="C118" i="4" s="1"/>
  <c r="W155" i="5"/>
  <c r="W154" i="5"/>
  <c r="W153" i="5"/>
  <c r="W152" i="5"/>
  <c r="W151" i="5"/>
  <c r="W150" i="5"/>
  <c r="W149" i="5"/>
  <c r="W148" i="5"/>
  <c r="C110" i="4" s="1"/>
  <c r="W147" i="5"/>
  <c r="W146" i="5"/>
  <c r="W145" i="5"/>
  <c r="W144" i="5"/>
  <c r="W143" i="5"/>
  <c r="W142" i="5"/>
  <c r="W141" i="5"/>
  <c r="W140" i="5"/>
  <c r="C102" i="4" s="1"/>
  <c r="W139" i="5"/>
  <c r="W138" i="5"/>
  <c r="W137" i="5"/>
  <c r="W136" i="5"/>
  <c r="W135" i="5"/>
  <c r="W134" i="5"/>
  <c r="W133" i="5"/>
  <c r="W132" i="5"/>
  <c r="C94" i="4" s="1"/>
  <c r="W131" i="5"/>
  <c r="W130" i="5"/>
  <c r="W129" i="5"/>
  <c r="W128" i="5"/>
  <c r="W127" i="5"/>
  <c r="W126" i="5"/>
  <c r="W125" i="5"/>
  <c r="W124" i="5"/>
  <c r="C86" i="4" s="1"/>
  <c r="W123" i="5"/>
  <c r="W122" i="5"/>
  <c r="W121" i="5"/>
  <c r="W120" i="5"/>
  <c r="W119" i="5"/>
  <c r="W118" i="5"/>
  <c r="W117" i="5"/>
  <c r="W116" i="5"/>
  <c r="C78" i="4" s="1"/>
  <c r="W115" i="5"/>
  <c r="W114" i="5"/>
  <c r="W113" i="5"/>
  <c r="W112" i="5"/>
  <c r="W111" i="5"/>
  <c r="W110" i="5"/>
  <c r="W109" i="5"/>
  <c r="W108" i="5"/>
  <c r="C70" i="4" s="1"/>
  <c r="C69" i="4" s="1"/>
  <c r="W106" i="5"/>
  <c r="W105" i="5"/>
  <c r="C65" i="4" s="1"/>
  <c r="W104" i="5"/>
  <c r="C64" i="4" s="1"/>
  <c r="W103" i="5"/>
  <c r="W102" i="5"/>
  <c r="W101" i="5"/>
  <c r="W100" i="5"/>
  <c r="C60" i="4" s="1"/>
  <c r="W99" i="5"/>
  <c r="W98" i="5"/>
  <c r="W97" i="5"/>
  <c r="W96" i="5"/>
  <c r="C56" i="4" s="1"/>
  <c r="W95" i="5"/>
  <c r="W94" i="5"/>
  <c r="W93" i="5"/>
  <c r="W92" i="5"/>
  <c r="C52" i="4" s="1"/>
  <c r="W91" i="5"/>
  <c r="W90" i="5"/>
  <c r="W89" i="5"/>
  <c r="W88" i="5"/>
  <c r="C48" i="4" s="1"/>
  <c r="W87" i="5"/>
  <c r="W86" i="5"/>
  <c r="W85" i="5"/>
  <c r="W84" i="5"/>
  <c r="C44" i="4" s="1"/>
  <c r="W83" i="5"/>
  <c r="W82" i="5"/>
  <c r="W81" i="5"/>
  <c r="W80" i="5"/>
  <c r="C40" i="4" s="1"/>
  <c r="W79" i="5"/>
  <c r="W78" i="5"/>
  <c r="W77" i="5"/>
  <c r="W76" i="5"/>
  <c r="W75" i="5"/>
  <c r="C35" i="4" s="1"/>
  <c r="W74" i="5"/>
  <c r="W73" i="5"/>
  <c r="C33" i="4" s="1"/>
  <c r="W72" i="5"/>
  <c r="W71" i="5"/>
  <c r="W70" i="5"/>
  <c r="W69" i="5"/>
  <c r="W68" i="5"/>
  <c r="W67" i="5"/>
  <c r="C27" i="4" s="1"/>
  <c r="W66" i="5"/>
  <c r="W65" i="5"/>
  <c r="C25" i="4" s="1"/>
  <c r="W64" i="5"/>
  <c r="W63" i="5"/>
  <c r="W62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W57" i="5" s="1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W54" i="5" s="1"/>
  <c r="X52" i="5"/>
  <c r="W52" i="5"/>
  <c r="X51" i="5"/>
  <c r="W51" i="5"/>
  <c r="X50" i="5"/>
  <c r="W50" i="5"/>
  <c r="T48" i="5"/>
  <c r="T56" i="5" s="1"/>
  <c r="T58" i="5" s="1"/>
  <c r="Q48" i="5"/>
  <c r="Q56" i="5" s="1"/>
  <c r="Q58" i="5" s="1"/>
  <c r="L48" i="5"/>
  <c r="L56" i="5" s="1"/>
  <c r="L58" i="5" s="1"/>
  <c r="I48" i="5"/>
  <c r="I56" i="5" s="1"/>
  <c r="I58" i="5" s="1"/>
  <c r="D48" i="5"/>
  <c r="D56" i="5" s="1"/>
  <c r="D58" i="5" s="1"/>
  <c r="V46" i="5"/>
  <c r="U46" i="5"/>
  <c r="T46" i="5"/>
  <c r="S46" i="5"/>
  <c r="S48" i="5" s="1"/>
  <c r="S56" i="5" s="1"/>
  <c r="S58" i="5" s="1"/>
  <c r="R46" i="5"/>
  <c r="R48" i="5" s="1"/>
  <c r="R56" i="5" s="1"/>
  <c r="R58" i="5" s="1"/>
  <c r="Q46" i="5"/>
  <c r="P46" i="5"/>
  <c r="O46" i="5"/>
  <c r="O48" i="5" s="1"/>
  <c r="O56" i="5" s="1"/>
  <c r="O58" i="5" s="1"/>
  <c r="N46" i="5"/>
  <c r="M46" i="5"/>
  <c r="L46" i="5"/>
  <c r="K46" i="5"/>
  <c r="K48" i="5" s="1"/>
  <c r="K56" i="5" s="1"/>
  <c r="K58" i="5" s="1"/>
  <c r="J46" i="5"/>
  <c r="J48" i="5" s="1"/>
  <c r="J56" i="5" s="1"/>
  <c r="J58" i="5" s="1"/>
  <c r="I46" i="5"/>
  <c r="H46" i="5"/>
  <c r="H48" i="5" s="1"/>
  <c r="H56" i="5" s="1"/>
  <c r="H58" i="5" s="1"/>
  <c r="G46" i="5"/>
  <c r="W46" i="5" s="1"/>
  <c r="F46" i="5"/>
  <c r="E46" i="5"/>
  <c r="D46" i="5"/>
  <c r="C46" i="5"/>
  <c r="C48" i="5" s="1"/>
  <c r="C56" i="5" s="1"/>
  <c r="X44" i="5"/>
  <c r="W44" i="5"/>
  <c r="X43" i="5"/>
  <c r="W43" i="5"/>
  <c r="X42" i="5"/>
  <c r="W42" i="5"/>
  <c r="V40" i="5"/>
  <c r="V48" i="5" s="1"/>
  <c r="V56" i="5" s="1"/>
  <c r="V58" i="5" s="1"/>
  <c r="U40" i="5"/>
  <c r="T40" i="5"/>
  <c r="S40" i="5"/>
  <c r="R40" i="5"/>
  <c r="Q40" i="5"/>
  <c r="O40" i="5"/>
  <c r="N40" i="5"/>
  <c r="N48" i="5" s="1"/>
  <c r="N56" i="5" s="1"/>
  <c r="N58" i="5" s="1"/>
  <c r="M40" i="5"/>
  <c r="L40" i="5"/>
  <c r="K40" i="5"/>
  <c r="J40" i="5"/>
  <c r="I40" i="5"/>
  <c r="H40" i="5"/>
  <c r="G40" i="5"/>
  <c r="F40" i="5"/>
  <c r="F48" i="5" s="1"/>
  <c r="F56" i="5" s="1"/>
  <c r="F58" i="5" s="1"/>
  <c r="E40" i="5"/>
  <c r="D40" i="5"/>
  <c r="C40" i="5"/>
  <c r="W40" i="5" s="1"/>
  <c r="X38" i="5"/>
  <c r="W38" i="5"/>
  <c r="W37" i="5"/>
  <c r="P37" i="5"/>
  <c r="P40" i="5" s="1"/>
  <c r="X36" i="5"/>
  <c r="W36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W34" i="5" s="1"/>
  <c r="X32" i="5"/>
  <c r="W32" i="5"/>
  <c r="X31" i="5"/>
  <c r="W31" i="5"/>
  <c r="X30" i="5"/>
  <c r="W30" i="5"/>
  <c r="X29" i="5"/>
  <c r="W29" i="5"/>
  <c r="X28" i="5"/>
  <c r="W28" i="5"/>
  <c r="X27" i="5"/>
  <c r="W27" i="5"/>
  <c r="X26" i="5"/>
  <c r="W26" i="5"/>
  <c r="V24" i="5"/>
  <c r="U24" i="5"/>
  <c r="U48" i="5" s="1"/>
  <c r="U56" i="5" s="1"/>
  <c r="U58" i="5" s="1"/>
  <c r="T24" i="5"/>
  <c r="S24" i="5"/>
  <c r="R24" i="5"/>
  <c r="Q24" i="5"/>
  <c r="O24" i="5"/>
  <c r="N24" i="5"/>
  <c r="M24" i="5"/>
  <c r="M48" i="5" s="1"/>
  <c r="M56" i="5" s="1"/>
  <c r="M58" i="5" s="1"/>
  <c r="L24" i="5"/>
  <c r="K24" i="5"/>
  <c r="J24" i="5"/>
  <c r="I24" i="5"/>
  <c r="H24" i="5"/>
  <c r="G24" i="5"/>
  <c r="F24" i="5"/>
  <c r="E24" i="5"/>
  <c r="E48" i="5" s="1"/>
  <c r="E56" i="5" s="1"/>
  <c r="E58" i="5" s="1"/>
  <c r="D24" i="5"/>
  <c r="C24" i="5"/>
  <c r="X22" i="5"/>
  <c r="W22" i="5"/>
  <c r="X21" i="5"/>
  <c r="W21" i="5"/>
  <c r="X20" i="5"/>
  <c r="W20" i="5"/>
  <c r="X19" i="5"/>
  <c r="W19" i="5"/>
  <c r="W18" i="5"/>
  <c r="P18" i="5"/>
  <c r="X18" i="5" s="1"/>
  <c r="X17" i="5"/>
  <c r="W17" i="5"/>
  <c r="X16" i="5"/>
  <c r="W16" i="5"/>
  <c r="X15" i="5"/>
  <c r="W15" i="5"/>
  <c r="X14" i="5"/>
  <c r="W14" i="5"/>
  <c r="X13" i="5"/>
  <c r="W13" i="5"/>
  <c r="X12" i="5"/>
  <c r="W12" i="5"/>
  <c r="X11" i="5"/>
  <c r="W11" i="5"/>
  <c r="X10" i="5"/>
  <c r="W10" i="5"/>
  <c r="Y9" i="5"/>
  <c r="X9" i="5"/>
  <c r="W9" i="5"/>
  <c r="Y8" i="5"/>
  <c r="X8" i="5"/>
  <c r="W8" i="5"/>
  <c r="X7" i="5"/>
  <c r="W7" i="5"/>
  <c r="Y6" i="5"/>
  <c r="X6" i="5"/>
  <c r="W6" i="5"/>
  <c r="Y5" i="5"/>
  <c r="Y4" i="5" s="1"/>
  <c r="X5" i="5"/>
  <c r="W5" i="5"/>
  <c r="D159" i="4"/>
  <c r="B159" i="4"/>
  <c r="D158" i="4"/>
  <c r="D157" i="4"/>
  <c r="C157" i="4"/>
  <c r="D156" i="4"/>
  <c r="C156" i="4"/>
  <c r="D155" i="4"/>
  <c r="C155" i="4"/>
  <c r="D154" i="4"/>
  <c r="C154" i="4"/>
  <c r="D153" i="4"/>
  <c r="C153" i="4"/>
  <c r="D152" i="4"/>
  <c r="C152" i="4"/>
  <c r="D151" i="4"/>
  <c r="C151" i="4"/>
  <c r="D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D142" i="4"/>
  <c r="D141" i="4"/>
  <c r="C141" i="4"/>
  <c r="D140" i="4"/>
  <c r="C140" i="4"/>
  <c r="D139" i="4"/>
  <c r="C139" i="4"/>
  <c r="D138" i="4"/>
  <c r="C138" i="4"/>
  <c r="D137" i="4"/>
  <c r="C137" i="4"/>
  <c r="C136" i="4"/>
  <c r="D135" i="4"/>
  <c r="C135" i="4"/>
  <c r="D134" i="4"/>
  <c r="D133" i="4"/>
  <c r="C133" i="4"/>
  <c r="D132" i="4"/>
  <c r="C132" i="4"/>
  <c r="D131" i="4"/>
  <c r="C131" i="4"/>
  <c r="D130" i="4"/>
  <c r="C130" i="4"/>
  <c r="D129" i="4"/>
  <c r="C129" i="4"/>
  <c r="C128" i="4"/>
  <c r="D127" i="4"/>
  <c r="C127" i="4"/>
  <c r="D126" i="4"/>
  <c r="D125" i="4"/>
  <c r="C125" i="4"/>
  <c r="D124" i="4"/>
  <c r="C124" i="4"/>
  <c r="D123" i="4"/>
  <c r="C123" i="4"/>
  <c r="D122" i="4"/>
  <c r="C122" i="4"/>
  <c r="D121" i="4"/>
  <c r="C121" i="4"/>
  <c r="C120" i="4"/>
  <c r="D119" i="4"/>
  <c r="C119" i="4"/>
  <c r="D118" i="4"/>
  <c r="D117" i="4"/>
  <c r="C117" i="4"/>
  <c r="D116" i="4"/>
  <c r="C116" i="4"/>
  <c r="D115" i="4"/>
  <c r="C115" i="4"/>
  <c r="D114" i="4"/>
  <c r="C114" i="4"/>
  <c r="D113" i="4"/>
  <c r="C113" i="4"/>
  <c r="C112" i="4"/>
  <c r="D111" i="4"/>
  <c r="C111" i="4"/>
  <c r="D110" i="4"/>
  <c r="D109" i="4"/>
  <c r="C109" i="4"/>
  <c r="D108" i="4"/>
  <c r="C108" i="4"/>
  <c r="D107" i="4"/>
  <c r="C107" i="4"/>
  <c r="D106" i="4"/>
  <c r="C106" i="4"/>
  <c r="D105" i="4"/>
  <c r="C105" i="4"/>
  <c r="C104" i="4"/>
  <c r="D103" i="4"/>
  <c r="C103" i="4"/>
  <c r="D102" i="4"/>
  <c r="D101" i="4"/>
  <c r="C101" i="4"/>
  <c r="D100" i="4"/>
  <c r="C100" i="4"/>
  <c r="D99" i="4"/>
  <c r="C99" i="4"/>
  <c r="D98" i="4"/>
  <c r="C98" i="4"/>
  <c r="D97" i="4"/>
  <c r="C97" i="4"/>
  <c r="C96" i="4"/>
  <c r="D95" i="4"/>
  <c r="C95" i="4"/>
  <c r="D94" i="4"/>
  <c r="D93" i="4"/>
  <c r="C93" i="4"/>
  <c r="D92" i="4"/>
  <c r="C92" i="4"/>
  <c r="D91" i="4"/>
  <c r="C91" i="4"/>
  <c r="D90" i="4"/>
  <c r="C90" i="4"/>
  <c r="D89" i="4"/>
  <c r="C89" i="4"/>
  <c r="D88" i="4"/>
  <c r="C88" i="4"/>
  <c r="C87" i="4"/>
  <c r="D86" i="4"/>
  <c r="D85" i="4"/>
  <c r="C85" i="4"/>
  <c r="D84" i="4"/>
  <c r="C84" i="4"/>
  <c r="D83" i="4"/>
  <c r="C83" i="4"/>
  <c r="D82" i="4"/>
  <c r="C82" i="4"/>
  <c r="D81" i="4"/>
  <c r="C81" i="4"/>
  <c r="D80" i="4"/>
  <c r="C80" i="4"/>
  <c r="C79" i="4"/>
  <c r="D78" i="4"/>
  <c r="D77" i="4"/>
  <c r="C77" i="4"/>
  <c r="D76" i="4"/>
  <c r="C76" i="4"/>
  <c r="D75" i="4"/>
  <c r="C75" i="4"/>
  <c r="D74" i="4"/>
  <c r="C74" i="4"/>
  <c r="D73" i="4"/>
  <c r="C73" i="4"/>
  <c r="D72" i="4"/>
  <c r="C72" i="4"/>
  <c r="C71" i="4"/>
  <c r="D70" i="4"/>
  <c r="D67" i="4"/>
  <c r="B67" i="4"/>
  <c r="D65" i="4"/>
  <c r="D64" i="4"/>
  <c r="D63" i="4"/>
  <c r="C63" i="4"/>
  <c r="D62" i="4"/>
  <c r="C62" i="4"/>
  <c r="D61" i="4"/>
  <c r="C61" i="4"/>
  <c r="D60" i="4"/>
  <c r="D59" i="4"/>
  <c r="C59" i="4"/>
  <c r="D58" i="4"/>
  <c r="C58" i="4"/>
  <c r="D57" i="4"/>
  <c r="C57" i="4"/>
  <c r="D56" i="4"/>
  <c r="D55" i="4"/>
  <c r="C55" i="4"/>
  <c r="D54" i="4"/>
  <c r="C54" i="4"/>
  <c r="D53" i="4"/>
  <c r="C53" i="4"/>
  <c r="D52" i="4"/>
  <c r="D51" i="4"/>
  <c r="C51" i="4"/>
  <c r="D50" i="4"/>
  <c r="C50" i="4"/>
  <c r="D49" i="4"/>
  <c r="C49" i="4"/>
  <c r="D48" i="4"/>
  <c r="D47" i="4"/>
  <c r="C47" i="4"/>
  <c r="D46" i="4"/>
  <c r="C46" i="4"/>
  <c r="D45" i="4"/>
  <c r="C45" i="4"/>
  <c r="D44" i="4"/>
  <c r="D43" i="4"/>
  <c r="C43" i="4"/>
  <c r="D42" i="4"/>
  <c r="C42" i="4"/>
  <c r="D41" i="4"/>
  <c r="C41" i="4"/>
  <c r="D40" i="4"/>
  <c r="D39" i="4"/>
  <c r="D38" i="4" s="1"/>
  <c r="C39" i="4"/>
  <c r="D36" i="4"/>
  <c r="C36" i="4"/>
  <c r="D35" i="4"/>
  <c r="D34" i="4"/>
  <c r="C34" i="4"/>
  <c r="D33" i="4"/>
  <c r="C32" i="4"/>
  <c r="D31" i="4"/>
  <c r="C31" i="4"/>
  <c r="D30" i="4"/>
  <c r="C30" i="4"/>
  <c r="D29" i="4"/>
  <c r="C29" i="4"/>
  <c r="D28" i="4"/>
  <c r="C28" i="4"/>
  <c r="D27" i="4"/>
  <c r="D26" i="4"/>
  <c r="C26" i="4"/>
  <c r="D25" i="4"/>
  <c r="C24" i="4"/>
  <c r="D23" i="4"/>
  <c r="C23" i="4"/>
  <c r="D22" i="4"/>
  <c r="D21" i="4" s="1"/>
  <c r="C22" i="4"/>
  <c r="D15" i="4"/>
  <c r="D11" i="4"/>
  <c r="D5" i="4"/>
  <c r="C9" i="4" l="1"/>
  <c r="E9" i="4" s="1"/>
  <c r="X40" i="5"/>
  <c r="E11" i="4"/>
  <c r="D13" i="4"/>
  <c r="C146" i="7"/>
  <c r="J54" i="7"/>
  <c r="C58" i="5"/>
  <c r="X34" i="5"/>
  <c r="C7" i="4"/>
  <c r="E7" i="4" s="1"/>
  <c r="C15" i="4"/>
  <c r="X54" i="5"/>
  <c r="X46" i="5"/>
  <c r="C11" i="4"/>
  <c r="E15" i="4"/>
  <c r="C21" i="4"/>
  <c r="C38" i="4"/>
  <c r="D69" i="4"/>
  <c r="D18" i="4" s="1"/>
  <c r="P24" i="5"/>
  <c r="W24" i="5" s="1"/>
  <c r="X37" i="5"/>
  <c r="G48" i="5"/>
  <c r="G56" i="5" s="1"/>
  <c r="G58" i="5" s="1"/>
  <c r="J51" i="7"/>
  <c r="C5" i="4" l="1"/>
  <c r="X24" i="5"/>
  <c r="X48" i="5" s="1"/>
  <c r="W48" i="5"/>
  <c r="D17" i="4"/>
  <c r="W56" i="5"/>
  <c r="C18" i="4"/>
  <c r="E18" i="4" s="1"/>
  <c r="C148" i="7"/>
  <c r="J148" i="7" s="1"/>
  <c r="J146" i="7"/>
  <c r="P48" i="5"/>
  <c r="P56" i="5" s="1"/>
  <c r="P58" i="5" s="1"/>
  <c r="X56" i="5" l="1"/>
  <c r="X59" i="5" s="1"/>
  <c r="W58" i="5"/>
  <c r="X58" i="5" s="1"/>
  <c r="D19" i="4"/>
  <c r="C13" i="4"/>
  <c r="E5" i="4"/>
  <c r="C17" i="4" l="1"/>
  <c r="E13" i="4"/>
  <c r="C19" i="4" l="1"/>
  <c r="E19" i="4" s="1"/>
  <c r="E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Dillon Kay</author>
  </authors>
  <commentList>
    <comment ref="C7" authorId="0" shapeId="0" xr:uid="{AEDF5D6A-7326-4703-B030-A1159E42FC58}">
      <text>
        <r>
          <rPr>
            <b/>
            <sz val="9"/>
            <color indexed="81"/>
            <rFont val="Tahoma"/>
            <family val="2"/>
          </rPr>
          <t>GATE costs for general fund only. GATE costs can be found in funds outside of general fund.</t>
        </r>
      </text>
    </comment>
    <comment ref="C10" authorId="0" shapeId="0" xr:uid="{57447C1E-1B6F-47BC-BC16-6DAE810E3B86}">
      <text>
        <r>
          <rPr>
            <b/>
            <sz val="9"/>
            <color indexed="81"/>
            <rFont val="Tahoma"/>
            <family val="2"/>
          </rPr>
          <t>Dillon Kay:
ELL costs for general fund only. ELL costs can be found in funds outside of general fund.</t>
        </r>
      </text>
    </comment>
    <comment ref="C11" authorId="0" shapeId="0" xr:uid="{82C98B77-C153-45C8-B323-16A59182D5D5}">
      <text>
        <r>
          <rPr>
            <b/>
            <sz val="9"/>
            <color indexed="81"/>
            <rFont val="Tahoma"/>
            <family val="2"/>
          </rPr>
          <t>Dillon Kay:
Not tracked by At-Risk group</t>
        </r>
      </text>
    </comment>
  </commentList>
</comments>
</file>

<file path=xl/sharedStrings.xml><?xml version="1.0" encoding="utf-8"?>
<sst xmlns="http://schemas.openxmlformats.org/spreadsheetml/2006/main" count="16998" uniqueCount="859">
  <si>
    <t>PCFP</t>
  </si>
  <si>
    <t>Project Codes</t>
  </si>
  <si>
    <t>State Funding included in the Pupil Centered Funding Plan.</t>
  </si>
  <si>
    <t>Category</t>
  </si>
  <si>
    <t>Tier</t>
  </si>
  <si>
    <t>DSA Basic Aid to Schools</t>
  </si>
  <si>
    <t>Adjusted Base</t>
  </si>
  <si>
    <t>C&amp;D</t>
  </si>
  <si>
    <t>CSR Aid to Schools</t>
  </si>
  <si>
    <t>Special Education</t>
  </si>
  <si>
    <t>E</t>
  </si>
  <si>
    <t>Students with Disabilities 13%</t>
  </si>
  <si>
    <t>K-12 (New Nevada Plan S.B.178)</t>
  </si>
  <si>
    <t>50/50</t>
  </si>
  <si>
    <t>Gifted and talented Education</t>
  </si>
  <si>
    <t>GATE</t>
  </si>
  <si>
    <t>SB551 (2019) Block Grant (Operation of a school District)</t>
  </si>
  <si>
    <t>226/390</t>
  </si>
  <si>
    <t>AB 309 (2019) Block Grant (New Teacher Incentives)</t>
  </si>
  <si>
    <t>219/390</t>
  </si>
  <si>
    <t>AB 309 (2019) Block Grant (Nevada Ready 21)</t>
  </si>
  <si>
    <t>365/390</t>
  </si>
  <si>
    <t>AB 309 (2019) Block Grant (Peer Assistance and Review)</t>
  </si>
  <si>
    <t>209/390</t>
  </si>
  <si>
    <t>AB 309 (2019) Block Grant (Library Books)</t>
  </si>
  <si>
    <t>Financial Literacy Professional Development</t>
  </si>
  <si>
    <t>School Social Workers</t>
  </si>
  <si>
    <t>School Resource Officers</t>
  </si>
  <si>
    <t>N/A</t>
  </si>
  <si>
    <t xml:space="preserve"> MTSS </t>
  </si>
  <si>
    <t>Social Emotional Learning</t>
  </si>
  <si>
    <t>Special Transportation</t>
  </si>
  <si>
    <t>Food/Trans</t>
  </si>
  <si>
    <t>B</t>
  </si>
  <si>
    <t>Read by Grade 3</t>
  </si>
  <si>
    <t>330/335</t>
  </si>
  <si>
    <t xml:space="preserve">Turnaround Grant (Underperforming Schools) </t>
  </si>
  <si>
    <t>College and Career Readiness - WBL</t>
  </si>
  <si>
    <t>College and Career Readiness - DUAL</t>
  </si>
  <si>
    <t>College and Career Readiness - STEM</t>
  </si>
  <si>
    <t>College and Career Readiness - AP</t>
  </si>
  <si>
    <t>Computer Science Education</t>
  </si>
  <si>
    <t>Special Elementary Counseling Services (At Risk Youth Counselor/HES Counselors)</t>
  </si>
  <si>
    <t>Career Ready Diploma Incentives</t>
  </si>
  <si>
    <t>BULLYING GRANTS (Anti-Bullying Grants AID to Schools)</t>
  </si>
  <si>
    <t>Teacher School Supply Reimbursement</t>
  </si>
  <si>
    <t>287/289</t>
  </si>
  <si>
    <t xml:space="preserve">Zoom </t>
  </si>
  <si>
    <t>EL</t>
  </si>
  <si>
    <t xml:space="preserve">Victory </t>
  </si>
  <si>
    <t>At-Risk</t>
  </si>
  <si>
    <r>
      <t xml:space="preserve">State Funding </t>
    </r>
    <r>
      <rPr>
        <b/>
        <u/>
        <sz val="10"/>
        <rFont val="Arial"/>
        <family val="2"/>
      </rPr>
      <t>NOT</t>
    </r>
    <r>
      <rPr>
        <b/>
        <sz val="10"/>
        <rFont val="Arial"/>
        <family val="2"/>
      </rPr>
      <t xml:space="preserve"> included in the Pupil Centered Funding Plan.</t>
    </r>
  </si>
  <si>
    <t>NSLP School Lunch Match</t>
  </si>
  <si>
    <t>Excluded</t>
  </si>
  <si>
    <t>Incentive New Teacher for Title 1 Schools</t>
  </si>
  <si>
    <t>Incentive Transfer Teacher for Title 1 Schools</t>
  </si>
  <si>
    <t>248/390</t>
  </si>
  <si>
    <t>AB 309 (2019) Block Grant (Great Teaching and Leading)</t>
  </si>
  <si>
    <t>311/312/390</t>
  </si>
  <si>
    <t>AB 309 (2019) Block Grant (Pupil Career and Technical Organizations (VOC))</t>
  </si>
  <si>
    <t>271/390</t>
  </si>
  <si>
    <t>AB 309 (2019) Block Grant (GAIN)</t>
  </si>
  <si>
    <t>Licensed Education Professional Incentives (1/5 Retirement)</t>
  </si>
  <si>
    <t xml:space="preserve">Regional Professional Development Program </t>
  </si>
  <si>
    <t>RPDP Administration Training</t>
  </si>
  <si>
    <t>State Adult Literacy</t>
  </si>
  <si>
    <t>PBS Datacasting Plan</t>
  </si>
  <si>
    <t>ED TECH - KLVX-SATELITTE</t>
  </si>
  <si>
    <t>Jobs for Americas Graduates</t>
  </si>
  <si>
    <t>Public Broadcasting System</t>
  </si>
  <si>
    <t>School Library Media Specialists 5%</t>
  </si>
  <si>
    <t>Education Leadership  - Clark County Public Education Foundation</t>
  </si>
  <si>
    <t>NV Institute on Teaching and Educator Preparation</t>
  </si>
  <si>
    <t>National Board Certification - Teacher Reimbursement</t>
  </si>
  <si>
    <t>Counselor Certification 5%</t>
  </si>
  <si>
    <t>Speech Pathologist 5%</t>
  </si>
  <si>
    <t>300/307/308/309/313</t>
  </si>
  <si>
    <t>State CTE Programs</t>
  </si>
  <si>
    <t>229/231</t>
  </si>
  <si>
    <t>State Adult Education (Adult High School Diploma (AHSD), Corrections)</t>
  </si>
  <si>
    <t xml:space="preserve">Teach Nevada Scholarship </t>
  </si>
  <si>
    <t>Teach Nevada Scholarship 10%</t>
  </si>
  <si>
    <t>Bullying Training Grants</t>
  </si>
  <si>
    <t>School Garden Grants through Nv Dept. of Agriculture (SB 167, 2017)</t>
  </si>
  <si>
    <t xml:space="preserve">Commission of Schoool Funding </t>
  </si>
  <si>
    <t>Comparative Budget Workbook</t>
  </si>
  <si>
    <t>Comparitive Summary</t>
  </si>
  <si>
    <t>19/20 District Budget Summary</t>
  </si>
  <si>
    <t>PCFP All Revenue AA-1R</t>
  </si>
  <si>
    <t>PCFP All Expense AA-1 Modified</t>
  </si>
  <si>
    <t>District Comments-Questions</t>
  </si>
  <si>
    <t>Churchill CSD - Title page</t>
  </si>
  <si>
    <t>Carson City SD - Title page</t>
  </si>
  <si>
    <t>Clark CSD - Title page</t>
  </si>
  <si>
    <t>Douglas CSD - Title page</t>
  </si>
  <si>
    <t>Elko CSD - Title page</t>
  </si>
  <si>
    <t>Esmeralda CSD - Title page</t>
  </si>
  <si>
    <t>Eureka CSD - Title page</t>
  </si>
  <si>
    <t>Humboldt CSD - Title page</t>
  </si>
  <si>
    <t>Lander CSD - Title page</t>
  </si>
  <si>
    <t>Lincoln CSD - Title page</t>
  </si>
  <si>
    <t>Lyon CSD - Title page</t>
  </si>
  <si>
    <t>Mineral CSD - Title page</t>
  </si>
  <si>
    <t>Nye CSD - Title page</t>
  </si>
  <si>
    <t>Pershing CSD - Title page</t>
  </si>
  <si>
    <t>Storey CSD - Title page</t>
  </si>
  <si>
    <t>Washoe CSD - Title page</t>
  </si>
  <si>
    <t>White Pine CSD - Title page</t>
  </si>
  <si>
    <t xml:space="preserve"> </t>
  </si>
  <si>
    <t>EL and At-Risk</t>
  </si>
  <si>
    <t xml:space="preserve">Carson City School District </t>
  </si>
  <si>
    <t>Fiscal Year 19/20 Budget and PCFP Budget Comparison Worksheets</t>
  </si>
  <si>
    <t xml:space="preserve">PCFP Comparative Budget is based on using the District's 19/20 Amended </t>
  </si>
  <si>
    <t>Budget as submitted December 2019 that is on file with the Department Education</t>
  </si>
  <si>
    <t>Pages to follow:</t>
  </si>
  <si>
    <t>Comparative Summary</t>
  </si>
  <si>
    <t>PCFP - All Revenue AA-1R</t>
  </si>
  <si>
    <t xml:space="preserve">2019/2020 and PCFP Budgets for </t>
  </si>
  <si>
    <t>Carson City</t>
  </si>
  <si>
    <t>CSD</t>
  </si>
  <si>
    <t>REVENUES</t>
  </si>
  <si>
    <t>District 19/20                   Actual Budget</t>
  </si>
  <si>
    <t>PCFP                Comparative Budget</t>
  </si>
  <si>
    <t>Difference (Decrease)/Increase</t>
  </si>
  <si>
    <t>TOTAL LOCAL SOURCES</t>
  </si>
  <si>
    <t>TOTAL STATE SOURCES</t>
  </si>
  <si>
    <t>TOTAL FEDERAL SOURCES</t>
  </si>
  <si>
    <t>TOTAL OTHER FINANCING SOURCES</t>
  </si>
  <si>
    <t>TOTAL REVENUES:</t>
  </si>
  <si>
    <t>TOTAL OPENING FUND BALANCE</t>
  </si>
  <si>
    <t>TOTAL ALL REVENUE RESOURCES:</t>
  </si>
  <si>
    <t>TOTAL ALL EXPENDITURES:</t>
  </si>
  <si>
    <t>Variance</t>
  </si>
  <si>
    <t>General Expenditures</t>
  </si>
  <si>
    <t>Regular</t>
  </si>
  <si>
    <t>Special</t>
  </si>
  <si>
    <t>PCFP - Special Education Fund</t>
  </si>
  <si>
    <t>Gifted and Talented</t>
  </si>
  <si>
    <t>PCFP - Gifted and Talented pupils</t>
  </si>
  <si>
    <t>Vocational &amp; Technical</t>
  </si>
  <si>
    <t>Other Instructional Programs (PK-12)</t>
  </si>
  <si>
    <t>PCFP - English Learners</t>
  </si>
  <si>
    <t>PCFP - At Risk Pupils</t>
  </si>
  <si>
    <t>Summer School</t>
  </si>
  <si>
    <t>Nonpublic School</t>
  </si>
  <si>
    <t>Adult Education</t>
  </si>
  <si>
    <t>Community Services</t>
  </si>
  <si>
    <t>Co-curricular &amp; Extra Curricular</t>
  </si>
  <si>
    <t>Athletics</t>
  </si>
  <si>
    <t>000</t>
  </si>
  <si>
    <t>Undistributed Expenditures</t>
  </si>
  <si>
    <t>Student Support</t>
  </si>
  <si>
    <t>Instruction Staff Support</t>
  </si>
  <si>
    <t>General Administration</t>
  </si>
  <si>
    <t>School Administration</t>
  </si>
  <si>
    <t>Central Services</t>
  </si>
  <si>
    <t>Operating/Maintenance Plant Service</t>
  </si>
  <si>
    <t>PCFP (B) - Student Transportation</t>
  </si>
  <si>
    <t>Other Support (All Objects)</t>
  </si>
  <si>
    <t>Noninstructional Services</t>
  </si>
  <si>
    <t>PCFP (B) - Food Services Operations</t>
  </si>
  <si>
    <t>Enterprise Operations</t>
  </si>
  <si>
    <t>Community Services Operations</t>
  </si>
  <si>
    <t>Land Acquisition Services</t>
  </si>
  <si>
    <t>Facility Acquisition and Construction</t>
  </si>
  <si>
    <t xml:space="preserve">Land Improvement </t>
  </si>
  <si>
    <t>Architectural &amp; Engineering Services</t>
  </si>
  <si>
    <t>Education Specifications Development Services</t>
  </si>
  <si>
    <t>Building Acquisition and Construction</t>
  </si>
  <si>
    <t>Site Improvements</t>
  </si>
  <si>
    <t>Building Improvements</t>
  </si>
  <si>
    <t>Other Facilities &amp; Acquisition &amp; Construction</t>
  </si>
  <si>
    <t>Other Financing Sources</t>
  </si>
  <si>
    <t>Debt Service</t>
  </si>
  <si>
    <t>Interdistrict Payments</t>
  </si>
  <si>
    <t>Fund Transfers</t>
  </si>
  <si>
    <t>Contingency</t>
  </si>
  <si>
    <t>Ending Balance</t>
  </si>
  <si>
    <t>OTHER and PROPRIETARY FUNDS</t>
  </si>
  <si>
    <t>Adult Diploma</t>
  </si>
  <si>
    <t>Adult Education -  Corrections</t>
  </si>
  <si>
    <t>Alternative Compensation</t>
  </si>
  <si>
    <t>Bond Fund</t>
  </si>
  <si>
    <t>Bond Projects</t>
  </si>
  <si>
    <t>Budget Stabilization</t>
  </si>
  <si>
    <t>Building and Sites</t>
  </si>
  <si>
    <t>Building Reserve BGST/DMV</t>
  </si>
  <si>
    <t>Capital Improvements</t>
  </si>
  <si>
    <t>Capital Projects</t>
  </si>
  <si>
    <t>Capital Projects - 2017C Sales Tax</t>
  </si>
  <si>
    <t>Capital Projects Fund</t>
  </si>
  <si>
    <t>Class Size Reduction</t>
  </si>
  <si>
    <t>COB</t>
  </si>
  <si>
    <t>CP - 2005 AB299 Indian Colony Fund</t>
  </si>
  <si>
    <t>CP - 2017A Extended Bond Rollover</t>
  </si>
  <si>
    <t>CP - 2018 Sales Tax Revenue Bond</t>
  </si>
  <si>
    <t>CP - 2019 Extended Bond Rollover</t>
  </si>
  <si>
    <t>CP - 2019 Sales Tax Revenue Bond</t>
  </si>
  <si>
    <t>CP - Government Services Tax Fund</t>
  </si>
  <si>
    <t>CP - WC1 Sales Tax Revenue Fund</t>
  </si>
  <si>
    <t>District Bond Initiative</t>
  </si>
  <si>
    <t>Expendable Trust</t>
  </si>
  <si>
    <t>Expendable Trust and Agency</t>
  </si>
  <si>
    <t>Extraordinary Maintenance</t>
  </si>
  <si>
    <t>Federal Grants</t>
  </si>
  <si>
    <t>Federal Projects</t>
  </si>
  <si>
    <t>Food Services</t>
  </si>
  <si>
    <t>Full Day Kindergarten</t>
  </si>
  <si>
    <t>Gifts and Donations</t>
  </si>
  <si>
    <t>Health Insurance</t>
  </si>
  <si>
    <t>High School Construction</t>
  </si>
  <si>
    <t>Hot Lunch Program</t>
  </si>
  <si>
    <t>Insurance Loss Fund</t>
  </si>
  <si>
    <t>Local Funds</t>
  </si>
  <si>
    <t>Local Grants</t>
  </si>
  <si>
    <t>Medicaid</t>
  </si>
  <si>
    <t>Net Proceeds Mitigation</t>
  </si>
  <si>
    <t>New Nevada Plan</t>
  </si>
  <si>
    <t>Nutrition Services</t>
  </si>
  <si>
    <t>NV Education Funding Plan</t>
  </si>
  <si>
    <t>Other Grants and Donations</t>
  </si>
  <si>
    <t>Other Special Revenue</t>
  </si>
  <si>
    <t>PCFP - Food Services and Transportation</t>
  </si>
  <si>
    <t>Piper's Opera House</t>
  </si>
  <si>
    <t>Private Donations and Grants</t>
  </si>
  <si>
    <t>Private Purpose Trusts</t>
  </si>
  <si>
    <t>Replacement</t>
  </si>
  <si>
    <t>Residential Construction Tax</t>
  </si>
  <si>
    <t>Retirement Incentive</t>
  </si>
  <si>
    <t>Retirement Sick Leave</t>
  </si>
  <si>
    <t>Revenue Stabilization</t>
  </si>
  <si>
    <t>Revolving</t>
  </si>
  <si>
    <t>Rollover Bond</t>
  </si>
  <si>
    <t>Scholarship</t>
  </si>
  <si>
    <t>Signing Bonus</t>
  </si>
  <si>
    <t>Special Revenue</t>
  </si>
  <si>
    <t>State Grants</t>
  </si>
  <si>
    <t>State Projects</t>
  </si>
  <si>
    <t>Student Activity Account</t>
  </si>
  <si>
    <t>Summer School Programs</t>
  </si>
  <si>
    <t>Teacherages</t>
  </si>
  <si>
    <t>Teachers School Supply Reimbursement</t>
  </si>
  <si>
    <t>Tom Norrs Fiduciary</t>
  </si>
  <si>
    <t>Unemployment Insurance</t>
  </si>
  <si>
    <t>Workman's Comp Insurance</t>
  </si>
  <si>
    <t>Proprietary:</t>
  </si>
  <si>
    <t>Enterprise</t>
  </si>
  <si>
    <t>Food Service</t>
  </si>
  <si>
    <t>Group Insurance</t>
  </si>
  <si>
    <t>H/A Insurance Fund</t>
  </si>
  <si>
    <t>Insurance Fund- Health Ins</t>
  </si>
  <si>
    <t>Insurance Fund- Prop and Casualty</t>
  </si>
  <si>
    <t>Insurance Fund- Workers Comp</t>
  </si>
  <si>
    <t>Internal Service</t>
  </si>
  <si>
    <t>OPEB Trust Fund</t>
  </si>
  <si>
    <t>Other</t>
  </si>
  <si>
    <t>Self-Insurance</t>
  </si>
  <si>
    <t>Self-Insurance (unemployment)</t>
  </si>
  <si>
    <t>Self-Insurance Health</t>
  </si>
  <si>
    <t>Unemployment Compensation</t>
  </si>
  <si>
    <t>Workers Compensation</t>
  </si>
  <si>
    <t xml:space="preserve">2019/2020 Budget for </t>
  </si>
  <si>
    <t>Total:</t>
  </si>
  <si>
    <t>General Fund</t>
  </si>
  <si>
    <t>New Nevada plan</t>
  </si>
  <si>
    <t>Adult Education Corrections</t>
  </si>
  <si>
    <t>Local grants</t>
  </si>
  <si>
    <t xml:space="preserve">Medicaid </t>
  </si>
  <si>
    <t xml:space="preserve">Bonds </t>
  </si>
  <si>
    <t>Health                           Insurance</t>
  </si>
  <si>
    <t>Workers Comp.</t>
  </si>
  <si>
    <t>Unemployment</t>
  </si>
  <si>
    <t>Transfer Reconciliation</t>
  </si>
  <si>
    <t>Total Budgeted</t>
  </si>
  <si>
    <t>Property Taxes</t>
  </si>
  <si>
    <t>To State</t>
  </si>
  <si>
    <t>School Support Taxes</t>
  </si>
  <si>
    <t>Franchise Taxes</t>
  </si>
  <si>
    <t>Governmental Services Tax</t>
  </si>
  <si>
    <t>State, Capital Projects &amp; Debt Services</t>
  </si>
  <si>
    <t>Other Revenues</t>
  </si>
  <si>
    <t>Boat Registration</t>
  </si>
  <si>
    <t>Tuition</t>
  </si>
  <si>
    <t>Transportation Fees</t>
  </si>
  <si>
    <t>Earnings on Investments</t>
  </si>
  <si>
    <t>Direct Activities Revenue</t>
  </si>
  <si>
    <t>Daily Sales - Food Services</t>
  </si>
  <si>
    <t>Rentals</t>
  </si>
  <si>
    <t>Donations</t>
  </si>
  <si>
    <t>Miscellaneous</t>
  </si>
  <si>
    <t>Indirect Costs</t>
  </si>
  <si>
    <t>Distributive School Fund (DSA)</t>
  </si>
  <si>
    <t>DSA Charter Reduction-Outside Revs</t>
  </si>
  <si>
    <t>Special Education - DSA Funding</t>
  </si>
  <si>
    <t>State Food Aid</t>
  </si>
  <si>
    <t>Restricted Funding/Grants-in-aid rev</t>
  </si>
  <si>
    <t>Audult High School Diploma</t>
  </si>
  <si>
    <t>Medicaid SBCHS Reimbursement</t>
  </si>
  <si>
    <t>Restricted - State Agency</t>
  </si>
  <si>
    <t>Restricted - Direct</t>
  </si>
  <si>
    <t xml:space="preserve">Bond Principal </t>
  </si>
  <si>
    <t>Transfers from Other Funds</t>
  </si>
  <si>
    <t xml:space="preserve">Gain/Loss Disposal of Assets </t>
  </si>
  <si>
    <t>Reserved Opening Balance</t>
  </si>
  <si>
    <t>Opening Balance (Other)</t>
  </si>
  <si>
    <t>Reverted to State</t>
  </si>
  <si>
    <t>TOTAL ALL RESOURCES:</t>
  </si>
  <si>
    <t>EXPENDITUES</t>
  </si>
  <si>
    <t>OTHER and PROPRIETARY FUNDS:  (List)</t>
  </si>
  <si>
    <t>District Name:</t>
  </si>
  <si>
    <t>Carson City School District</t>
  </si>
  <si>
    <t>Prepared By:</t>
  </si>
  <si>
    <t>AJ Feuling</t>
  </si>
  <si>
    <t>ESTIMATED</t>
  </si>
  <si>
    <t>BUDGET YEAR ENDING 06/30/20</t>
  </si>
  <si>
    <t>REVENUE</t>
  </si>
  <si>
    <t>ACTUAL PRIOR</t>
  </si>
  <si>
    <t xml:space="preserve">CURRENT </t>
  </si>
  <si>
    <t>EXCLUDED</t>
  </si>
  <si>
    <t xml:space="preserve">PCFP </t>
  </si>
  <si>
    <t>YEAR ENDING</t>
  </si>
  <si>
    <t xml:space="preserve">TENTATIVE </t>
  </si>
  <si>
    <t xml:space="preserve">FINAL </t>
  </si>
  <si>
    <t>FROM</t>
  </si>
  <si>
    <t>APPROVED</t>
  </si>
  <si>
    <t xml:space="preserve"> NOTES:</t>
  </si>
  <si>
    <t>1000</t>
  </si>
  <si>
    <t>LOCAL SOURCES</t>
  </si>
  <si>
    <t>1100</t>
  </si>
  <si>
    <t>Tax Revenue</t>
  </si>
  <si>
    <t>1110</t>
  </si>
  <si>
    <t>1111</t>
  </si>
  <si>
    <t>Net Proceeds of Mines</t>
  </si>
  <si>
    <t>1112</t>
  </si>
  <si>
    <t>Net Proceeds of Mines - Prior Year</t>
  </si>
  <si>
    <t>1120</t>
  </si>
  <si>
    <t>1150</t>
  </si>
  <si>
    <t>1190</t>
  </si>
  <si>
    <t>Other Taxes</t>
  </si>
  <si>
    <t>1191</t>
  </si>
  <si>
    <t>1192</t>
  </si>
  <si>
    <t>1193</t>
  </si>
  <si>
    <t>Boat Registrations</t>
  </si>
  <si>
    <t>1200</t>
  </si>
  <si>
    <t>Local Gov Units - Not School Districts</t>
  </si>
  <si>
    <t>1300</t>
  </si>
  <si>
    <t>1400</t>
  </si>
  <si>
    <t>1500</t>
  </si>
  <si>
    <t>1600</t>
  </si>
  <si>
    <t>Food Service Revenue</t>
  </si>
  <si>
    <t>1611</t>
  </si>
  <si>
    <t>Daily Sales - School Lunch</t>
  </si>
  <si>
    <t>1612</t>
  </si>
  <si>
    <t>Daily Sales - School Breakfast</t>
  </si>
  <si>
    <t>1613</t>
  </si>
  <si>
    <t>Daily Sales - Special Milk</t>
  </si>
  <si>
    <t>1614</t>
  </si>
  <si>
    <t>Daily Sales - After-School Program</t>
  </si>
  <si>
    <t>1700</t>
  </si>
  <si>
    <t>District Activities Revenue</t>
  </si>
  <si>
    <t>1800</t>
  </si>
  <si>
    <t>Community Service Activities</t>
  </si>
  <si>
    <t>1900</t>
  </si>
  <si>
    <t>1910</t>
  </si>
  <si>
    <t>1920</t>
  </si>
  <si>
    <t>1950/60</t>
  </si>
  <si>
    <t>Services Provided other Governments</t>
  </si>
  <si>
    <t>1990</t>
  </si>
  <si>
    <t>3000</t>
  </si>
  <si>
    <t>REVENUE FROM STATE SOURCES</t>
  </si>
  <si>
    <t>3110</t>
  </si>
  <si>
    <t>Distributive School Fund</t>
  </si>
  <si>
    <t>C &amp; D</t>
  </si>
  <si>
    <t>PCFP - Adjusted Base Per Pupil</t>
  </si>
  <si>
    <t>3115</t>
  </si>
  <si>
    <t>PCFP - English learners</t>
  </si>
  <si>
    <t>PCFP - At risk pupils</t>
  </si>
  <si>
    <t>3200</t>
  </si>
  <si>
    <t>Restricted Funding/Grants-in-Aid Rev</t>
  </si>
  <si>
    <t>3210</t>
  </si>
  <si>
    <t>3220</t>
  </si>
  <si>
    <t>Adult High School Diploma</t>
  </si>
  <si>
    <t xml:space="preserve">3230 </t>
  </si>
  <si>
    <t>3800</t>
  </si>
  <si>
    <t>In Lieu of Taxes</t>
  </si>
  <si>
    <t>3900</t>
  </si>
  <si>
    <t>For/on behalf of School District</t>
  </si>
  <si>
    <t>4000</t>
  </si>
  <si>
    <t>FEDERAL SOURCES</t>
  </si>
  <si>
    <t>4100</t>
  </si>
  <si>
    <t>Unrestricted - Direct Fed Gov't</t>
  </si>
  <si>
    <t>4200</t>
  </si>
  <si>
    <t>Unrestricted - State Agency Schools to Road</t>
  </si>
  <si>
    <t xml:space="preserve">                                -</t>
  </si>
  <si>
    <t xml:space="preserve">                                     -</t>
  </si>
  <si>
    <t>4300</t>
  </si>
  <si>
    <t>4500</t>
  </si>
  <si>
    <t>4800</t>
  </si>
  <si>
    <t>Revenue in Lieu of Taxes</t>
  </si>
  <si>
    <t>4900</t>
  </si>
  <si>
    <t>Revenue for-on behalf of School District</t>
  </si>
  <si>
    <t>5000</t>
  </si>
  <si>
    <t>OTHER FINANCING SOURCES</t>
  </si>
  <si>
    <t>5100</t>
  </si>
  <si>
    <t>Issuance of Bonds</t>
  </si>
  <si>
    <t>5110</t>
  </si>
  <si>
    <t>Bond Principal</t>
  </si>
  <si>
    <t>5120</t>
  </si>
  <si>
    <t>Premium/Discount of Bond Sale</t>
  </si>
  <si>
    <t>5200</t>
  </si>
  <si>
    <t>5300</t>
  </si>
  <si>
    <t>Gain/Loss on Disposal of Assets</t>
  </si>
  <si>
    <t>5400</t>
  </si>
  <si>
    <t>Loan Proceeds (&gt; 12 months)</t>
  </si>
  <si>
    <t>5500</t>
  </si>
  <si>
    <t>Capital lease Proceeds</t>
  </si>
  <si>
    <t>5600</t>
  </si>
  <si>
    <t>Other Long-Term Debt Proceeds</t>
  </si>
  <si>
    <t>8000</t>
  </si>
  <si>
    <t>OPENING FUND BALANCE</t>
  </si>
  <si>
    <t>Reserved Opening Balance (NPM)</t>
  </si>
  <si>
    <t>Prior Period Adjustments</t>
  </si>
  <si>
    <t>Residual Equity Transfers</t>
  </si>
  <si>
    <t>TOTAL ALL RESOURCES</t>
  </si>
  <si>
    <t>Transfers from PCFP - Special Education Fund</t>
  </si>
  <si>
    <t>Transfers from PCFP - English learners</t>
  </si>
  <si>
    <t>Transfers from PCFP - At risk pupils</t>
  </si>
  <si>
    <t>Transfers from PCFP - Gifted and Talented pupils</t>
  </si>
  <si>
    <t>School District</t>
  </si>
  <si>
    <t>All Funding (Revenues)</t>
  </si>
  <si>
    <t>Budgeted Resources</t>
  </si>
  <si>
    <t>Schedule AA-1 R</t>
  </si>
  <si>
    <t>(1)
PCFP
PROGRAM OR FUNCTION
(EXPENDITURES)</t>
  </si>
  <si>
    <t>(2) 
SALARIES           AND WAGES</t>
  </si>
  <si>
    <t>(3) 
EMPLOYEE BENEFITS</t>
  </si>
  <si>
    <t>(4) 
SERVICES SUPPLIES AND OTHER</t>
  </si>
  <si>
    <t>(5)
TRANSFERS OUT</t>
  </si>
  <si>
    <t>(6)
CONTINGENCY</t>
  </si>
  <si>
    <t>(7) 
ENDING FUND BALANCE</t>
  </si>
  <si>
    <t>(8)                 EXSPENDITURES EXCLUDED FROM PCFP</t>
  </si>
  <si>
    <t>(9)
TOTAL FUND REQUIREMENTS</t>
  </si>
  <si>
    <t>NOTES:</t>
  </si>
  <si>
    <t>GENERAL FUND</t>
  </si>
  <si>
    <t>2000</t>
  </si>
  <si>
    <t>Support Services</t>
  </si>
  <si>
    <t>Unresolved Budget Shortfall</t>
  </si>
  <si>
    <t>NPM - Reserved Per NRS 387.1235</t>
  </si>
  <si>
    <t>General Fund Subtotal</t>
  </si>
  <si>
    <t>DEBT SERVICE</t>
  </si>
  <si>
    <t xml:space="preserve">                             -</t>
  </si>
  <si>
    <t xml:space="preserve">                                  -</t>
  </si>
  <si>
    <t xml:space="preserve">                            -</t>
  </si>
  <si>
    <t xml:space="preserve">                                   -</t>
  </si>
  <si>
    <t>DEBT SERVICE - WC-1</t>
  </si>
  <si>
    <t>SUBTOTAL APPROPRIATION FUNDS</t>
  </si>
  <si>
    <t xml:space="preserve">                                        -</t>
  </si>
  <si>
    <t>SUBTOTAL OTHER FUNDS</t>
  </si>
  <si>
    <t>TOTAL ALL FUNDS</t>
  </si>
  <si>
    <r>
      <t>Less:</t>
    </r>
    <r>
      <rPr>
        <sz val="11"/>
        <rFont val="Arial"/>
        <family val="2"/>
      </rPr>
      <t xml:space="preserve">  Interfund Transfers</t>
    </r>
  </si>
  <si>
    <t>NET ALL FUNDS</t>
  </si>
  <si>
    <t>All Fund Applications (Expenditures)</t>
  </si>
  <si>
    <t>Schedule AA-1 Modified</t>
  </si>
  <si>
    <t xml:space="preserve">Churchill County School District </t>
  </si>
  <si>
    <t>Districts Comments-Questions</t>
  </si>
  <si>
    <t>Churchill</t>
  </si>
  <si>
    <t>19/20                          Actual Budget</t>
  </si>
  <si>
    <t>PCFP            Comparative Budget</t>
  </si>
  <si>
    <t>Difference</t>
  </si>
  <si>
    <t>General Fund Expenditures</t>
  </si>
  <si>
    <t>OTHER and PROPRIETARY FUNDS:</t>
  </si>
  <si>
    <t>HS Construction</t>
  </si>
  <si>
    <t>Workers Comp</t>
  </si>
  <si>
    <t>Adjusted For PCFP</t>
  </si>
  <si>
    <t>State &amp; Debt Services</t>
  </si>
  <si>
    <t>Net Proceeds from Mines</t>
  </si>
  <si>
    <t>Counseling - DSA Funding</t>
  </si>
  <si>
    <t>Restricted - Other Agency</t>
  </si>
  <si>
    <t>Churchill County School District</t>
  </si>
  <si>
    <t>Phyllys Dowd</t>
  </si>
  <si>
    <t xml:space="preserve">                         -</t>
  </si>
  <si>
    <t>Other Transfers</t>
  </si>
  <si>
    <t xml:space="preserve">Page: </t>
  </si>
  <si>
    <t>Tie out to current amended budget:</t>
  </si>
  <si>
    <t>Total All Resource F77</t>
  </si>
  <si>
    <t>Net Change</t>
  </si>
  <si>
    <t>Less PCFP F36 to F41; F44</t>
  </si>
  <si>
    <t>in Funding:</t>
  </si>
  <si>
    <t>Prior Funding - Column I</t>
  </si>
  <si>
    <t>Excl Funding - Column H</t>
  </si>
  <si>
    <t>Special Edu Transfer In F80</t>
  </si>
  <si>
    <t>Total</t>
  </si>
  <si>
    <t>Budget</t>
  </si>
  <si>
    <t>Page:</t>
  </si>
  <si>
    <t>2 of 2</t>
  </si>
  <si>
    <t>(8) EXSPENDITURES EXCLUDED FROM PCFP</t>
  </si>
  <si>
    <t xml:space="preserve">                        -</t>
  </si>
  <si>
    <t xml:space="preserve">                      -</t>
  </si>
  <si>
    <t xml:space="preserve">                           -</t>
  </si>
  <si>
    <t xml:space="preserve">                          -</t>
  </si>
  <si>
    <t>CHURCHILL COMMENTS</t>
  </si>
  <si>
    <t>Revenue column F header should be amended budget as of 12/11/2019</t>
  </si>
  <si>
    <t>All the column headers on the revenue tab are for the tentative/final</t>
  </si>
  <si>
    <t xml:space="preserve"> budgets; we use difference ones for augmented or amended budgets.</t>
  </si>
  <si>
    <t>I added a column so that I could tie out total revenue to my budget;</t>
  </si>
  <si>
    <t xml:space="preserve"> you will not need column I.</t>
  </si>
  <si>
    <t xml:space="preserve">I removed the shading for transfers in.  I needed to account for </t>
  </si>
  <si>
    <t>food service and capital project transfers in.</t>
  </si>
  <si>
    <t xml:space="preserve">I added an area at the bottom of the revenue tab to tie out the total </t>
  </si>
  <si>
    <t>resources to the our budget.</t>
  </si>
  <si>
    <t>I added the grants from our email conversation on April 30th.</t>
  </si>
  <si>
    <t xml:space="preserve">  They are highlighted yellow on the List of State Grants tab.</t>
  </si>
  <si>
    <t xml:space="preserve">I added a tab to compare the two funding models by </t>
  </si>
  <si>
    <t>calculating the net income or loss - ouch!</t>
  </si>
  <si>
    <t>CHURCHILL QUESTIONS</t>
  </si>
  <si>
    <t>General Fund 910/920 programs - where do I put the transportation expenses?</t>
  </si>
  <si>
    <t>Account String</t>
  </si>
  <si>
    <t>Amount</t>
  </si>
  <si>
    <t>These are included in cells:</t>
  </si>
  <si>
    <t>100-910-2700-300</t>
  </si>
  <si>
    <t>E15</t>
  </si>
  <si>
    <t>100-920-2700-300</t>
  </si>
  <si>
    <t>E16</t>
  </si>
  <si>
    <t>Special Education Fund - where do I put the transportation expenses?</t>
  </si>
  <si>
    <t>250-200-2700-100</t>
  </si>
  <si>
    <t>C104</t>
  </si>
  <si>
    <t>250-200-2700-200</t>
  </si>
  <si>
    <t>D104</t>
  </si>
  <si>
    <t>250-200-2700-300 &amp; 600</t>
  </si>
  <si>
    <t>E104</t>
  </si>
  <si>
    <t>Federal Projects Fund - where do I put the transportation expenses?</t>
  </si>
  <si>
    <t>280-200-2700-100</t>
  </si>
  <si>
    <t>C83</t>
  </si>
  <si>
    <t>280-200-2700-200</t>
  </si>
  <si>
    <t>D83</t>
  </si>
  <si>
    <t>280-400-2700-300</t>
  </si>
  <si>
    <t>E83</t>
  </si>
  <si>
    <t>State Projects Fund - where do I put the transportation expenses?</t>
  </si>
  <si>
    <t>240-000-2700-100</t>
  </si>
  <si>
    <t>C120</t>
  </si>
  <si>
    <t>240-000-2700-200</t>
  </si>
  <si>
    <t>D120</t>
  </si>
  <si>
    <t>240-000-2700-300</t>
  </si>
  <si>
    <t>E120</t>
  </si>
  <si>
    <t xml:space="preserve">Clark County School District </t>
  </si>
  <si>
    <t>Clark</t>
  </si>
  <si>
    <t>19/20 Actual Budget</t>
  </si>
  <si>
    <t>PCFP Comparative Budget</t>
  </si>
  <si>
    <t>Budget Variances</t>
  </si>
  <si>
    <t>Alternative Education</t>
  </si>
  <si>
    <t>Internal Service Funds</t>
  </si>
  <si>
    <t>Room Tax</t>
  </si>
  <si>
    <t>Real Estate Transfer Tax</t>
  </si>
  <si>
    <t>Direct District Activities Revenue</t>
  </si>
  <si>
    <t>SB 178 NV Education Fund Plan</t>
  </si>
  <si>
    <t>Revenue for/on behalf of School District</t>
  </si>
  <si>
    <t>Ristricted Opening Balance</t>
  </si>
  <si>
    <t>Assigned Opening Balance</t>
  </si>
  <si>
    <t>Clark County School District (CCSD)</t>
  </si>
  <si>
    <t>CCSD's Budget Department</t>
  </si>
  <si>
    <r>
      <rPr>
        <b/>
        <sz val="11"/>
        <color rgb="FFFF0000"/>
        <rFont val="Arial"/>
        <family val="2"/>
      </rPr>
      <t>Revised</t>
    </r>
    <r>
      <rPr>
        <b/>
        <sz val="11"/>
        <rFont val="Arial"/>
        <family val="2"/>
      </rPr>
      <t xml:space="preserve"> FINAL </t>
    </r>
  </si>
  <si>
    <t>PCFP Allocation of $2,111,075,854</t>
  </si>
  <si>
    <t>PCFP - Special Education</t>
  </si>
  <si>
    <t>PCFP Allocation of $386,136,727</t>
  </si>
  <si>
    <t>PCFP Allocation of $88,416,870</t>
  </si>
  <si>
    <t>PCFP - At risk Pupils</t>
  </si>
  <si>
    <t>PCFP Allocation of $65,018,717</t>
  </si>
  <si>
    <t>PCFP - Gifted and Talented Pupils</t>
  </si>
  <si>
    <t>PCFP Allocation of $14,992,075</t>
  </si>
  <si>
    <t>PCFP Allocation of $168,703,964</t>
  </si>
  <si>
    <t>OTHER SOURCES</t>
  </si>
  <si>
    <t>Forest Reserve/Federal Impact Aid</t>
  </si>
  <si>
    <t>Fed Direct QSCB Int</t>
  </si>
  <si>
    <t>$208,991,910 -Federal Grants/ $116,000,000 Food Service Federal Reimbursement</t>
  </si>
  <si>
    <t>Debt Service, Captial, and Special Educaton Fund</t>
  </si>
  <si>
    <t>TRANSFERS</t>
  </si>
  <si>
    <t>INSTRUCTIONAL NOTES:</t>
  </si>
  <si>
    <t>transfer to special education fund</t>
  </si>
  <si>
    <t>General Subtotal</t>
  </si>
  <si>
    <t>VEGAS PBS</t>
  </si>
  <si>
    <t xml:space="preserve">Douglas County School District </t>
  </si>
  <si>
    <t>Douglas</t>
  </si>
  <si>
    <t>Special Insurance</t>
  </si>
  <si>
    <t>Federal Programs</t>
  </si>
  <si>
    <t xml:space="preserve">Revolving </t>
  </si>
  <si>
    <t>National Forest District</t>
  </si>
  <si>
    <t>Daily Sales - School Lunches</t>
  </si>
  <si>
    <t xml:space="preserve">Excluded </t>
  </si>
  <si>
    <t>Reserved Opening  Balance</t>
  </si>
  <si>
    <t>Douglas County School District</t>
  </si>
  <si>
    <t>Susan Estes</t>
  </si>
  <si>
    <t>1 of 2</t>
  </si>
  <si>
    <t xml:space="preserve">Elko County School District </t>
  </si>
  <si>
    <t>Elko</t>
  </si>
  <si>
    <t>Budget Variance</t>
  </si>
  <si>
    <t>NV Education Plan</t>
  </si>
  <si>
    <t>Gift and Donations</t>
  </si>
  <si>
    <t>Other Special Misc.</t>
  </si>
  <si>
    <t>Self Health</t>
  </si>
  <si>
    <t>Services Provided Other Govts</t>
  </si>
  <si>
    <t>Restricted - Direct Fed Gov't</t>
  </si>
  <si>
    <t>Unreserved Opening Balance</t>
  </si>
  <si>
    <t>Elko County School District</t>
  </si>
  <si>
    <t>Jerri Norton</t>
  </si>
  <si>
    <t>NOTE 1/2 IS FROM Pay as you Go funding</t>
  </si>
  <si>
    <t xml:space="preserve">Geothermal </t>
  </si>
  <si>
    <t>All funds - most is Pay as You Go</t>
  </si>
  <si>
    <t>Internal service fund revenue derived from other funds, retirees, COBRA, stop loss reimb</t>
  </si>
  <si>
    <t>NDA state food service matc</t>
  </si>
  <si>
    <t>This is the NDA state food service match</t>
  </si>
  <si>
    <t>This was $7,786,484 - less Sp Ed $5,944,098, CSR $788,024, Food service $621,496</t>
  </si>
  <si>
    <t>TRF to CSR, other local funds</t>
  </si>
  <si>
    <t>Trf to Sp Ed</t>
  </si>
  <si>
    <t>Trf to Other local for SRO</t>
  </si>
  <si>
    <t>Trf to Food service</t>
  </si>
  <si>
    <t>GATE included here</t>
  </si>
  <si>
    <t xml:space="preserve">Esmeralda County School District </t>
  </si>
  <si>
    <t>Esmeralda</t>
  </si>
  <si>
    <t>Unrestricted - State Agency</t>
  </si>
  <si>
    <t>Special Items</t>
  </si>
  <si>
    <t>Esmeralda County School District</t>
  </si>
  <si>
    <t>Anabel Guerrero</t>
  </si>
  <si>
    <t xml:space="preserve">Eureka County School District </t>
  </si>
  <si>
    <t>Eureka</t>
  </si>
  <si>
    <t>Expenditures</t>
  </si>
  <si>
    <t>Other and Proprietary Funds:</t>
  </si>
  <si>
    <t xml:space="preserve">Net Proceeds Mitigation </t>
  </si>
  <si>
    <t>Fund Transfers In</t>
  </si>
  <si>
    <t>Eureka County School District</t>
  </si>
  <si>
    <t>Rhonda Wilker</t>
  </si>
  <si>
    <t xml:space="preserve">Humboldt County School District </t>
  </si>
  <si>
    <t>Humboldt</t>
  </si>
  <si>
    <t>Private Purpose Trust</t>
  </si>
  <si>
    <t>NV Unemployment Comp.</t>
  </si>
  <si>
    <t>Transfers Reconciliation</t>
  </si>
  <si>
    <t>Pay to Play</t>
  </si>
  <si>
    <t>State Revenue School Lunch</t>
  </si>
  <si>
    <t>Res Opening Bal Net Proceeds CY 18 for FY 20</t>
  </si>
  <si>
    <t>Reserved Opening Bal - Inventories/Prepaids</t>
  </si>
  <si>
    <t>Inheritrix Payments</t>
  </si>
  <si>
    <t>Tom Norris Fiduciary</t>
  </si>
  <si>
    <t>Humboldt County School District</t>
  </si>
  <si>
    <t>Ronda Havens</t>
  </si>
  <si>
    <t>Debt service portion that funds capital projects</t>
  </si>
  <si>
    <t xml:space="preserve">Lander County School District </t>
  </si>
  <si>
    <t>Lander</t>
  </si>
  <si>
    <t>PCFP Comparable  Budget</t>
  </si>
  <si>
    <t>Support Services-Other Cent Ser</t>
  </si>
  <si>
    <t>Health Accident Insurance</t>
  </si>
  <si>
    <t>Less:  Interfund Transfers</t>
  </si>
  <si>
    <t>Stabilization of Op.</t>
  </si>
  <si>
    <t>Compensated Absences</t>
  </si>
  <si>
    <t>Interest</t>
  </si>
  <si>
    <t>Dividends</t>
  </si>
  <si>
    <t>Unrealized Gain/Losses</t>
  </si>
  <si>
    <t>After School Program Fees</t>
  </si>
  <si>
    <t>Wells Fargo Employment Donations</t>
  </si>
  <si>
    <t>Use of Buildings</t>
  </si>
  <si>
    <t>Adult Education - State</t>
  </si>
  <si>
    <t>Federal Lunch Reimbursement</t>
  </si>
  <si>
    <t>Forest Reserve</t>
  </si>
  <si>
    <t>Erate Funds</t>
  </si>
  <si>
    <t>Sale Loss Fixed Assets</t>
  </si>
  <si>
    <t>Reserved Net Proceeds</t>
  </si>
  <si>
    <t>Reserved Fund Balance - PIRC</t>
  </si>
  <si>
    <t>Lander County</t>
  </si>
  <si>
    <t>Nan Ancho</t>
  </si>
  <si>
    <t xml:space="preserve">Lincoln County School District </t>
  </si>
  <si>
    <t>Lincoln</t>
  </si>
  <si>
    <t>Bond</t>
  </si>
  <si>
    <t>LC Adult Education</t>
  </si>
  <si>
    <t>Self Insurance</t>
  </si>
  <si>
    <t>Lincoln County School District</t>
  </si>
  <si>
    <t>Ginger Shumway, CFO</t>
  </si>
  <si>
    <t>Land Acquisition and Construction</t>
  </si>
  <si>
    <t xml:space="preserve">Mineral County School District </t>
  </si>
  <si>
    <t>Mineral</t>
  </si>
  <si>
    <t>Unemployment Comp.</t>
  </si>
  <si>
    <t>Retirement Incentives</t>
  </si>
  <si>
    <t>Capital Improvement</t>
  </si>
  <si>
    <t xml:space="preserve">Total Budgeted </t>
  </si>
  <si>
    <t>Geothermal</t>
  </si>
  <si>
    <t>Local Safety Grant</t>
  </si>
  <si>
    <t xml:space="preserve">Adult High School Diploma </t>
  </si>
  <si>
    <t>Medicaid Reimbursement</t>
  </si>
  <si>
    <t>Mineral County School District</t>
  </si>
  <si>
    <t>Diane Rodriguez, CFO</t>
  </si>
  <si>
    <t>Property Taxes Debt 25% Bond 400</t>
  </si>
  <si>
    <t>Governmental Services Tax 25% Debt (Capital)300</t>
  </si>
  <si>
    <t>Includes Local Grant</t>
  </si>
  <si>
    <t>Total Transfers</t>
  </si>
  <si>
    <t>Total All funds Balance with Augment 12-31-19</t>
  </si>
  <si>
    <t>241 RPDP</t>
  </si>
  <si>
    <t>300 CTE</t>
  </si>
  <si>
    <t>258 School Facility Improvement</t>
  </si>
  <si>
    <t>270 Infrastructure</t>
  </si>
  <si>
    <t>396 Governors wage</t>
  </si>
  <si>
    <t>207 Pre-K</t>
  </si>
  <si>
    <t>Total Not Included in PCFP</t>
  </si>
  <si>
    <t>DEBT SERVICE - MC-1</t>
  </si>
  <si>
    <t xml:space="preserve">Nye County School District </t>
  </si>
  <si>
    <t>Nye</t>
  </si>
  <si>
    <t>Adult Ed.</t>
  </si>
  <si>
    <t>Other Special Fund</t>
  </si>
  <si>
    <t>Residential Construction tax</t>
  </si>
  <si>
    <t>Teacherage</t>
  </si>
  <si>
    <t>Workers Comp Fund</t>
  </si>
  <si>
    <t>Nye County School District</t>
  </si>
  <si>
    <t>Ray Ritchie / Kristin Marshall</t>
  </si>
  <si>
    <t>Not included - Fund 400</t>
  </si>
  <si>
    <t>Not included - Fund 310</t>
  </si>
  <si>
    <t>Govt Services Tax assigned to Debt we opt to put in Capital Projects - Fund 300 - not part of PCFP</t>
  </si>
  <si>
    <t>Not included - Funds 290, 310, 331, 360, 400, 702 , 703</t>
  </si>
  <si>
    <t>Not included - Fund 290</t>
  </si>
  <si>
    <t>Not included - Funds 702, 703</t>
  </si>
  <si>
    <t>Not included - Funds 330, 331</t>
  </si>
  <si>
    <t>Not included - Funds 240 - 207, 230, 241, 270, 258, 300, 308, 395, 396, 399</t>
  </si>
  <si>
    <t>Not included - Funds 230 - 229, 231</t>
  </si>
  <si>
    <t>Not included - Fund 280 408</t>
  </si>
  <si>
    <t>Not included - Funds 280 - 610,617,620,624,629,631,633,634,639,641,658,665,667,681,688,709,715,770 &amp; Fund 290</t>
  </si>
  <si>
    <t>Grants-in-Aid from Fed Govt through Intermediate Agencies</t>
  </si>
  <si>
    <t>Not included - Funds 280 781 - added revenue code for Erate</t>
  </si>
  <si>
    <t>Not included - Funds 270, 280, 290, 300, 310, 330, 331, 360, 400, 702, 703</t>
  </si>
  <si>
    <t>Not included - Fund 230</t>
  </si>
  <si>
    <t>Not included - Fund 360s</t>
  </si>
  <si>
    <t>Not included - Fund 330s</t>
  </si>
  <si>
    <t>Not included - Funds 300s</t>
  </si>
  <si>
    <t>Not included - Funds 280 - 408, 610, 617, 620, 624, 629, 631, 633, 634, 639, 641, 658, 665, 667, 681, 688, 709, 715, 770, 781</t>
  </si>
  <si>
    <t>Not included - Fund 270s</t>
  </si>
  <si>
    <t>Portion not included - Funds 240 - 207, 230, 241, 270, 258, 300, 308, 395, 396, 399</t>
  </si>
  <si>
    <t>Not included - Fund 331</t>
  </si>
  <si>
    <t>Not included - Fund 702, 712</t>
  </si>
  <si>
    <t>Not included - Fund 703, 713</t>
  </si>
  <si>
    <t xml:space="preserve">Pershing County School District </t>
  </si>
  <si>
    <t>Pershing</t>
  </si>
  <si>
    <t>.</t>
  </si>
  <si>
    <t>Pershing County School District</t>
  </si>
  <si>
    <t>Lisa Clark, Director of Finance</t>
  </si>
  <si>
    <t xml:space="preserve">   </t>
  </si>
  <si>
    <t xml:space="preserve">                     -</t>
  </si>
  <si>
    <t xml:space="preserve">                  -</t>
  </si>
  <si>
    <t xml:space="preserve">                       -</t>
  </si>
  <si>
    <t xml:space="preserve">Storey County School District </t>
  </si>
  <si>
    <t>Storey</t>
  </si>
  <si>
    <t>19/20 Budget</t>
  </si>
  <si>
    <t>Miscellaneous Expenditures</t>
  </si>
  <si>
    <t>Student Activities</t>
  </si>
  <si>
    <t>Site/Bldg</t>
  </si>
  <si>
    <t>Storey County School District</t>
  </si>
  <si>
    <t>Kristen Chandler-Business Manager</t>
  </si>
  <si>
    <t>6300 Site/Bldg</t>
  </si>
  <si>
    <t xml:space="preserve">Washoe County School District </t>
  </si>
  <si>
    <t>Washoe</t>
  </si>
  <si>
    <t>REMEDIAL PROGRAMS</t>
  </si>
  <si>
    <t>Instruction</t>
  </si>
  <si>
    <t>x</t>
  </si>
  <si>
    <t>Capital Projects-CP2018</t>
  </si>
  <si>
    <t>Capital Projects-CP2019</t>
  </si>
  <si>
    <t>Capital Projects-WC1</t>
  </si>
  <si>
    <t>Capital Projects-Indian Colony</t>
  </si>
  <si>
    <t>Capital Projects-GST</t>
  </si>
  <si>
    <t>Capital Projects-2017A</t>
  </si>
  <si>
    <t>Capital Projects-2019 Ext Rollover</t>
  </si>
  <si>
    <t>Debt Service-WC1</t>
  </si>
  <si>
    <t>Internal Service-Insurance P&amp;C</t>
  </si>
  <si>
    <t>Internal Service-Health Insurance</t>
  </si>
  <si>
    <t>Internal Service-Workers Comp</t>
  </si>
  <si>
    <t xml:space="preserve">Enterprise </t>
  </si>
  <si>
    <t>OPEB Trust</t>
  </si>
  <si>
    <t>To State &amp; Debt Services</t>
  </si>
  <si>
    <t>Other Tuition</t>
  </si>
  <si>
    <t>Student Activities Revenue</t>
  </si>
  <si>
    <t>Revenue In Lieu of Taxes</t>
  </si>
  <si>
    <t>Salary Reimbursements</t>
  </si>
  <si>
    <t>Special Appropriations</t>
  </si>
  <si>
    <t>P.L. 81-874</t>
  </si>
  <si>
    <t>Federal Other Flow Through</t>
  </si>
  <si>
    <t>Capital Lease proceeds</t>
  </si>
  <si>
    <t>Nonspendable Inventory</t>
  </si>
  <si>
    <t>Assigned for Encumbrances</t>
  </si>
  <si>
    <t>Assigned for General Supply Carryover</t>
  </si>
  <si>
    <t>Restricted Opening Balance</t>
  </si>
  <si>
    <t>Unassigned Opening Balance</t>
  </si>
  <si>
    <t>Washoe County School District</t>
  </si>
  <si>
    <t>Jeff Bozzo, Assistant Budget Director</t>
  </si>
  <si>
    <t>Local Grant Revenue</t>
  </si>
  <si>
    <t>Total Sources After PCFP Amounts</t>
  </si>
  <si>
    <t>Total Sources Before PCFP Amounts</t>
  </si>
  <si>
    <t>Surplus/(Shortfall) due to PCFP</t>
  </si>
  <si>
    <t>Less</t>
  </si>
  <si>
    <t>Ad Valorem</t>
  </si>
  <si>
    <t>LSST</t>
  </si>
  <si>
    <t>Franchise Tax</t>
  </si>
  <si>
    <t>GST</t>
  </si>
  <si>
    <t>DSA</t>
  </si>
  <si>
    <t>SB551</t>
  </si>
  <si>
    <t>CSR</t>
  </si>
  <si>
    <t>SpEd</t>
  </si>
  <si>
    <t>State Grants in PCFP</t>
  </si>
  <si>
    <t>Plus PCFP</t>
  </si>
  <si>
    <t>(8) EXPENDITURES EXCLUDED FROM PCFP</t>
  </si>
  <si>
    <t>Total master sheet</t>
  </si>
  <si>
    <t xml:space="preserve">White Pine County School District </t>
  </si>
  <si>
    <t>White Pine</t>
  </si>
  <si>
    <t xml:space="preserve">Budget Variance Decrease/(Increase) </t>
  </si>
  <si>
    <t>Net proceeds of Mines</t>
  </si>
  <si>
    <t>White Pine County School District</t>
  </si>
  <si>
    <t>Paul Johnson, CFO</t>
  </si>
  <si>
    <t>Gas and Oil Lease - 1112</t>
  </si>
  <si>
    <t>Debt Services</t>
  </si>
  <si>
    <t>1/8 Sales Tax - Capital Fund</t>
  </si>
  <si>
    <t>Debt portion of GST</t>
  </si>
  <si>
    <t>Debt/Capital</t>
  </si>
  <si>
    <t>Fund Balance from 240.294</t>
  </si>
  <si>
    <t>290.202.3200</t>
  </si>
  <si>
    <t>4703 - erate funds $13,578 &amp; 4700 $5,000</t>
  </si>
  <si>
    <t>240.208 - Transfers In - $185,064, Special Ed - $737,695, 240.208 $54.285.27</t>
  </si>
  <si>
    <t>Nutrition Program</t>
  </si>
  <si>
    <t>Excludes transportation</t>
  </si>
  <si>
    <t xml:space="preserve">                                                   -</t>
  </si>
  <si>
    <t>Do not duplicate costs/expenditures if identified in the OTHER and PROPRIETARY FUNDS section.</t>
  </si>
  <si>
    <t xml:space="preserve">Retiree - OPEB </t>
  </si>
  <si>
    <t>Excludes transfers to nutrition program</t>
  </si>
  <si>
    <t>Includes Stabilization Fund, Prepaids, OPEB Reserve</t>
  </si>
  <si>
    <t>Included in Base "State Projects"</t>
  </si>
  <si>
    <t>Fund 280 &amp; 281</t>
  </si>
  <si>
    <t>Fund 260 &amp; 270</t>
  </si>
  <si>
    <t>50% of project 280</t>
  </si>
  <si>
    <t>Project 289 and 50% of project 280</t>
  </si>
  <si>
    <t>No GATE Funding in FY2020</t>
  </si>
  <si>
    <t>Fund 250.201</t>
  </si>
  <si>
    <t>Excludes grants included in weighted categories, food/transportation and Base</t>
  </si>
  <si>
    <t>Amounts in this row are only those state grants that would be included in the PCFP Base</t>
  </si>
  <si>
    <t>No data submitted</t>
  </si>
  <si>
    <t xml:space="preserve">Lyon County School District </t>
  </si>
  <si>
    <t>Lyon</t>
  </si>
  <si>
    <t xml:space="preserve">19/20 Actual Budget </t>
  </si>
  <si>
    <t xml:space="preserve">Budget Variance </t>
  </si>
  <si>
    <t>Insurance Loss</t>
  </si>
  <si>
    <t>Federal School Lunch</t>
  </si>
  <si>
    <t>19_20</t>
  </si>
  <si>
    <t>Test District</t>
  </si>
  <si>
    <t>Mickey Mouse</t>
  </si>
  <si>
    <t>PG-4</t>
  </si>
  <si>
    <t>PG-10</t>
  </si>
  <si>
    <t>PG-17</t>
  </si>
  <si>
    <t>PG-22</t>
  </si>
  <si>
    <t>PG-28</t>
  </si>
  <si>
    <t>PG-34</t>
  </si>
  <si>
    <t>PG-39</t>
  </si>
  <si>
    <t>PG-44</t>
  </si>
  <si>
    <t>PG-51</t>
  </si>
  <si>
    <t>PG-57</t>
  </si>
  <si>
    <t>PG-63</t>
  </si>
  <si>
    <t>PG-71</t>
  </si>
  <si>
    <t>PG-77</t>
  </si>
  <si>
    <t>PG-82</t>
  </si>
  <si>
    <t>PG-88</t>
  </si>
  <si>
    <t>PG-95</t>
  </si>
  <si>
    <t>PG-101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</si>
</sst>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/dd/yy;@"/>
    <numFmt numFmtId="166" formatCode="_(&quot;$&quot;* #,##0_);_(&quot;$&quot;* \(#,##0\);_(&quot;$&quot;* &quot;-&quot;??_);_(@_)"/>
    <numFmt numFmtId="167" formatCode="_(* #,##0_);_(* \(#,##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FFFF0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u/>
      <sz val="10"/>
      <name val="Arial"/>
      <family val="2"/>
    </font>
    <font>
      <b/>
      <sz val="11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b/>
      <u/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Arial"/>
      <family val="2"/>
    </font>
    <font>
      <b/>
      <sz val="10"/>
      <color theme="0" tint="-4.9989318521683403E-2"/>
      <name val="Arial"/>
      <family val="2"/>
    </font>
    <font>
      <u val="singleAccounting"/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9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44" fontId="14" fillId="0" borderId="0" xfId="7" applyFont="1"/>
    <xf numFmtId="42" fontId="14" fillId="0" borderId="0" xfId="7" applyNumberFormat="1" applyFont="1"/>
    <xf numFmtId="44" fontId="0" fillId="0" borderId="0" xfId="7" applyFont="1"/>
    <xf numFmtId="0" fontId="2" fillId="0" borderId="0" xfId="0" applyFont="1" applyAlignment="1">
      <alignment horizontal="center" vertical="center" wrapText="1"/>
    </xf>
    <xf numFmtId="44" fontId="2" fillId="0" borderId="0" xfId="7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4" fontId="0" fillId="0" borderId="0" xfId="0" applyNumberFormat="1"/>
    <xf numFmtId="0" fontId="2" fillId="0" borderId="0" xfId="0" applyFont="1" applyAlignment="1">
      <alignment horizontal="right"/>
    </xf>
    <xf numFmtId="44" fontId="2" fillId="0" borderId="0" xfId="7" applyFont="1"/>
    <xf numFmtId="44" fontId="2" fillId="0" borderId="0" xfId="0" applyNumberFormat="1" applyFont="1"/>
    <xf numFmtId="44" fontId="4" fillId="0" borderId="0" xfId="7"/>
    <xf numFmtId="0" fontId="2" fillId="0" borderId="2" xfId="0" applyFont="1" applyBorder="1"/>
    <xf numFmtId="49" fontId="2" fillId="0" borderId="3" xfId="0" applyNumberFormat="1" applyFont="1" applyBorder="1" applyAlignment="1">
      <alignment horizontal="right"/>
    </xf>
    <xf numFmtId="44" fontId="2" fillId="0" borderId="3" xfId="7" applyFont="1" applyBorder="1"/>
    <xf numFmtId="44" fontId="0" fillId="0" borderId="4" xfId="0" applyNumberFormat="1" applyBorder="1"/>
    <xf numFmtId="41" fontId="4" fillId="0" borderId="0" xfId="7" applyNumberFormat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4" fontId="0" fillId="0" borderId="7" xfId="0" applyNumberFormat="1" applyBorder="1"/>
    <xf numFmtId="0" fontId="2" fillId="0" borderId="5" xfId="0" applyFont="1" applyBorder="1"/>
    <xf numFmtId="37" fontId="0" fillId="0" borderId="0" xfId="0" applyNumberFormat="1"/>
    <xf numFmtId="41" fontId="0" fillId="0" borderId="0" xfId="0" applyNumberForma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4" fontId="12" fillId="0" borderId="0" xfId="7" applyFont="1"/>
    <xf numFmtId="42" fontId="15" fillId="0" borderId="0" xfId="7" applyNumberFormat="1" applyFont="1"/>
    <xf numFmtId="0" fontId="16" fillId="0" borderId="0" xfId="0" applyFont="1"/>
    <xf numFmtId="44" fontId="16" fillId="0" borderId="0" xfId="0" applyNumberFormat="1" applyFont="1"/>
    <xf numFmtId="49" fontId="2" fillId="0" borderId="0" xfId="0" applyNumberFormat="1" applyFont="1"/>
    <xf numFmtId="42" fontId="2" fillId="0" borderId="0" xfId="7" applyNumberFormat="1" applyFont="1"/>
    <xf numFmtId="42" fontId="2" fillId="0" borderId="0" xfId="0" applyNumberFormat="1" applyFont="1"/>
    <xf numFmtId="41" fontId="2" fillId="0" borderId="0" xfId="0" applyNumberFormat="1" applyFont="1"/>
    <xf numFmtId="42" fontId="0" fillId="0" borderId="0" xfId="7" applyNumberFormat="1" applyFont="1"/>
    <xf numFmtId="42" fontId="0" fillId="0" borderId="0" xfId="0" applyNumberFormat="1"/>
    <xf numFmtId="0" fontId="17" fillId="0" borderId="0" xfId="0" applyFont="1"/>
    <xf numFmtId="42" fontId="16" fillId="0" borderId="0" xfId="0" applyNumberFormat="1" applyFont="1"/>
    <xf numFmtId="42" fontId="2" fillId="0" borderId="3" xfId="7" applyNumberFormat="1" applyFont="1" applyBorder="1"/>
    <xf numFmtId="42" fontId="2" fillId="0" borderId="4" xfId="0" applyNumberFormat="1" applyFont="1" applyBorder="1"/>
    <xf numFmtId="41" fontId="2" fillId="0" borderId="0" xfId="7" applyNumberFormat="1" applyFont="1"/>
    <xf numFmtId="42" fontId="2" fillId="0" borderId="6" xfId="7" applyNumberFormat="1" applyFont="1" applyBorder="1"/>
    <xf numFmtId="42" fontId="0" fillId="0" borderId="7" xfId="0" applyNumberFormat="1" applyBorder="1"/>
    <xf numFmtId="41" fontId="0" fillId="0" borderId="0" xfId="7" applyNumberFormat="1" applyFont="1"/>
    <xf numFmtId="0" fontId="2" fillId="0" borderId="0" xfId="0" applyFont="1" applyAlignment="1">
      <alignment horizontal="left"/>
    </xf>
    <xf numFmtId="49" fontId="15" fillId="0" borderId="3" xfId="0" applyNumberFormat="1" applyFont="1" applyBorder="1" applyAlignment="1">
      <alignment horizontal="left"/>
    </xf>
    <xf numFmtId="49" fontId="18" fillId="0" borderId="3" xfId="0" applyNumberFormat="1" applyFont="1" applyBorder="1" applyAlignment="1">
      <alignment horizontal="left"/>
    </xf>
    <xf numFmtId="0" fontId="18" fillId="0" borderId="8" xfId="0" applyFont="1" applyBorder="1"/>
    <xf numFmtId="164" fontId="15" fillId="0" borderId="4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8" fillId="0" borderId="0" xfId="0" applyFont="1"/>
    <xf numFmtId="49" fontId="15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8" fillId="0" borderId="9" xfId="0" applyFont="1" applyBorder="1"/>
    <xf numFmtId="0" fontId="15" fillId="0" borderId="9" xfId="0" applyFont="1" applyBorder="1"/>
    <xf numFmtId="0" fontId="15" fillId="0" borderId="10" xfId="0" applyFont="1" applyBorder="1" applyAlignment="1">
      <alignment horizontal="center"/>
    </xf>
    <xf numFmtId="0" fontId="15" fillId="0" borderId="5" xfId="0" applyFont="1" applyBorder="1" applyAlignment="1" applyProtection="1">
      <alignment horizontal="left"/>
      <protection hidden="1"/>
    </xf>
    <xf numFmtId="0" fontId="15" fillId="0" borderId="11" xfId="0" applyFont="1" applyBorder="1" applyProtection="1">
      <protection hidden="1"/>
    </xf>
    <xf numFmtId="0" fontId="15" fillId="0" borderId="10" xfId="0" applyFont="1" applyBorder="1" applyAlignment="1" applyProtection="1">
      <alignment horizontal="center"/>
      <protection hidden="1"/>
    </xf>
    <xf numFmtId="49" fontId="18" fillId="0" borderId="1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49" fontId="18" fillId="0" borderId="5" xfId="0" applyNumberFormat="1" applyFont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5" fillId="0" borderId="11" xfId="0" applyNumberFormat="1" applyFont="1" applyBorder="1" applyAlignment="1" applyProtection="1">
      <alignment horizontal="center" wrapText="1"/>
      <protection hidden="1"/>
    </xf>
    <xf numFmtId="0" fontId="15" fillId="0" borderId="7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49" fontId="15" fillId="0" borderId="14" xfId="0" applyNumberFormat="1" applyFont="1" applyBorder="1" applyAlignment="1" applyProtection="1">
      <alignment horizontal="left"/>
      <protection locked="0"/>
    </xf>
    <xf numFmtId="49" fontId="15" fillId="0" borderId="15" xfId="0" applyNumberFormat="1" applyFont="1" applyBorder="1" applyAlignment="1" applyProtection="1">
      <alignment horizontal="left"/>
      <protection locked="0"/>
    </xf>
    <xf numFmtId="0" fontId="15" fillId="0" borderId="13" xfId="0" applyFont="1" applyBorder="1" applyProtection="1">
      <protection locked="0"/>
    </xf>
    <xf numFmtId="41" fontId="18" fillId="9" borderId="16" xfId="0" applyNumberFormat="1" applyFont="1" applyFill="1" applyBorder="1" applyProtection="1">
      <protection locked="0"/>
    </xf>
    <xf numFmtId="41" fontId="18" fillId="0" borderId="16" xfId="0" applyNumberFormat="1" applyFont="1" applyBorder="1" applyProtection="1">
      <protection locked="0"/>
    </xf>
    <xf numFmtId="41" fontId="18" fillId="9" borderId="13" xfId="0" applyNumberFormat="1" applyFont="1" applyFill="1" applyBorder="1" applyProtection="1">
      <protection locked="0"/>
    </xf>
    <xf numFmtId="41" fontId="18" fillId="10" borderId="13" xfId="0" applyNumberFormat="1" applyFont="1" applyFill="1" applyBorder="1" applyProtection="1">
      <protection locked="0"/>
    </xf>
    <xf numFmtId="0" fontId="18" fillId="0" borderId="16" xfId="0" applyFont="1" applyBorder="1"/>
    <xf numFmtId="49" fontId="18" fillId="0" borderId="14" xfId="0" applyNumberFormat="1" applyFont="1" applyBorder="1" applyAlignment="1" applyProtection="1">
      <alignment horizontal="left"/>
      <protection locked="0"/>
    </xf>
    <xf numFmtId="49" fontId="18" fillId="0" borderId="6" xfId="0" applyNumberFormat="1" applyFont="1" applyBorder="1" applyAlignment="1" applyProtection="1">
      <alignment horizontal="left"/>
      <protection locked="0"/>
    </xf>
    <xf numFmtId="0" fontId="18" fillId="0" borderId="11" xfId="0" applyFont="1" applyBorder="1" applyProtection="1">
      <protection locked="0"/>
    </xf>
    <xf numFmtId="49" fontId="18" fillId="0" borderId="5" xfId="0" applyNumberFormat="1" applyFont="1" applyBorder="1" applyAlignment="1" applyProtection="1">
      <alignment horizontal="left"/>
      <protection locked="0"/>
    </xf>
    <xf numFmtId="0" fontId="18" fillId="0" borderId="14" xfId="0" applyFont="1" applyBorder="1"/>
    <xf numFmtId="49" fontId="18" fillId="0" borderId="15" xfId="0" applyNumberFormat="1" applyFont="1" applyBorder="1" applyAlignment="1" applyProtection="1">
      <alignment horizontal="left"/>
      <protection locked="0"/>
    </xf>
    <xf numFmtId="0" fontId="18" fillId="0" borderId="5" xfId="0" applyFont="1" applyBorder="1"/>
    <xf numFmtId="0" fontId="18" fillId="0" borderId="13" xfId="0" applyFont="1" applyBorder="1" applyProtection="1">
      <protection locked="0"/>
    </xf>
    <xf numFmtId="49" fontId="15" fillId="0" borderId="17" xfId="0" applyNumberFormat="1" applyFont="1" applyBorder="1" applyAlignment="1" applyProtection="1">
      <alignment horizontal="left"/>
      <protection locked="0"/>
    </xf>
    <xf numFmtId="49" fontId="18" fillId="0" borderId="18" xfId="0" applyNumberFormat="1" applyFont="1" applyBorder="1" applyAlignment="1" applyProtection="1">
      <alignment horizontal="left"/>
      <protection locked="0"/>
    </xf>
    <xf numFmtId="0" fontId="18" fillId="0" borderId="19" xfId="0" applyFont="1" applyBorder="1" applyProtection="1">
      <protection locked="0"/>
    </xf>
    <xf numFmtId="41" fontId="18" fillId="9" borderId="19" xfId="0" applyNumberFormat="1" applyFont="1" applyFill="1" applyBorder="1" applyProtection="1">
      <protection locked="0"/>
    </xf>
    <xf numFmtId="41" fontId="18" fillId="0" borderId="20" xfId="0" applyNumberFormat="1" applyFont="1" applyBorder="1" applyProtection="1">
      <protection locked="0"/>
    </xf>
    <xf numFmtId="41" fontId="18" fillId="10" borderId="21" xfId="0" applyNumberFormat="1" applyFont="1" applyFill="1" applyBorder="1" applyProtection="1">
      <protection locked="0"/>
    </xf>
    <xf numFmtId="0" fontId="18" fillId="0" borderId="21" xfId="0" applyFont="1" applyBorder="1"/>
    <xf numFmtId="49" fontId="15" fillId="0" borderId="22" xfId="0" applyNumberFormat="1" applyFont="1" applyBorder="1" applyAlignment="1" applyProtection="1">
      <alignment horizontal="left"/>
      <protection locked="0"/>
    </xf>
    <xf numFmtId="49" fontId="18" fillId="0" borderId="23" xfId="0" applyNumberFormat="1" applyFont="1" applyBorder="1" applyAlignment="1" applyProtection="1">
      <alignment horizontal="left"/>
      <protection locked="0"/>
    </xf>
    <xf numFmtId="0" fontId="15" fillId="0" borderId="24" xfId="0" applyFont="1" applyBorder="1" applyProtection="1">
      <protection locked="0"/>
    </xf>
    <xf numFmtId="41" fontId="18" fillId="10" borderId="11" xfId="0" applyNumberFormat="1" applyFont="1" applyFill="1" applyBorder="1" applyProtection="1">
      <protection locked="0"/>
    </xf>
    <xf numFmtId="0" fontId="18" fillId="0" borderId="7" xfId="0" applyFont="1" applyBorder="1"/>
    <xf numFmtId="41" fontId="18" fillId="9" borderId="16" xfId="8" applyNumberFormat="1" applyFont="1" applyFill="1" applyBorder="1" applyProtection="1">
      <protection locked="0"/>
    </xf>
    <xf numFmtId="41" fontId="18" fillId="9" borderId="13" xfId="8" applyNumberFormat="1" applyFont="1" applyFill="1" applyBorder="1" applyProtection="1">
      <protection locked="0"/>
    </xf>
    <xf numFmtId="41" fontId="18" fillId="10" borderId="13" xfId="8" applyNumberFormat="1" applyFont="1" applyFill="1" applyBorder="1" applyProtection="1">
      <protection locked="0"/>
    </xf>
    <xf numFmtId="0" fontId="18" fillId="0" borderId="5" xfId="0" applyFont="1" applyBorder="1" applyAlignment="1" applyProtection="1">
      <alignment horizontal="left"/>
      <protection locked="0"/>
    </xf>
    <xf numFmtId="41" fontId="19" fillId="11" borderId="15" xfId="0" applyNumberFormat="1" applyFont="1" applyFill="1" applyBorder="1" applyAlignment="1" applyProtection="1">
      <alignment horizontal="right"/>
      <protection locked="0"/>
    </xf>
    <xf numFmtId="41" fontId="19" fillId="11" borderId="13" xfId="0" applyNumberFormat="1" applyFont="1" applyFill="1" applyBorder="1" applyProtection="1">
      <protection locked="0"/>
    </xf>
    <xf numFmtId="41" fontId="20" fillId="12" borderId="13" xfId="8" applyNumberFormat="1" applyFont="1" applyFill="1" applyBorder="1" applyProtection="1">
      <protection locked="0"/>
    </xf>
    <xf numFmtId="0" fontId="18" fillId="0" borderId="16" xfId="9" applyFont="1" applyBorder="1" applyAlignment="1" applyProtection="1">
      <alignment horizontal="left"/>
    </xf>
    <xf numFmtId="49" fontId="19" fillId="11" borderId="6" xfId="0" applyNumberFormat="1" applyFont="1" applyFill="1" applyBorder="1" applyAlignment="1" applyProtection="1">
      <alignment horizontal="right"/>
      <protection locked="0"/>
    </xf>
    <xf numFmtId="0" fontId="19" fillId="11" borderId="11" xfId="0" applyFont="1" applyFill="1" applyBorder="1" applyProtection="1">
      <protection locked="0"/>
    </xf>
    <xf numFmtId="49" fontId="18" fillId="0" borderId="5" xfId="0" applyNumberFormat="1" applyFont="1" applyBorder="1" applyAlignment="1" applyProtection="1">
      <alignment horizontal="left" vertical="center"/>
      <protection locked="0"/>
    </xf>
    <xf numFmtId="49" fontId="18" fillId="0" borderId="15" xfId="0" applyNumberFormat="1" applyFont="1" applyBorder="1" applyAlignment="1">
      <alignment horizontal="left" vertical="center"/>
    </xf>
    <xf numFmtId="0" fontId="18" fillId="0" borderId="11" xfId="0" applyFont="1" applyBorder="1" applyAlignment="1" applyProtection="1">
      <alignment vertical="center"/>
      <protection locked="0"/>
    </xf>
    <xf numFmtId="41" fontId="18" fillId="9" borderId="16" xfId="0" applyNumberFormat="1" applyFont="1" applyFill="1" applyBorder="1" applyAlignment="1" applyProtection="1">
      <alignment vertical="center"/>
      <protection locked="0"/>
    </xf>
    <xf numFmtId="41" fontId="18" fillId="0" borderId="16" xfId="8" applyNumberFormat="1" applyFont="1" applyBorder="1" applyAlignment="1" applyProtection="1">
      <alignment vertical="center"/>
      <protection locked="0"/>
    </xf>
    <xf numFmtId="41" fontId="18" fillId="9" borderId="13" xfId="8" applyNumberFormat="1" applyFont="1" applyFill="1" applyBorder="1" applyAlignment="1" applyProtection="1">
      <alignment vertical="center"/>
      <protection locked="0"/>
    </xf>
    <xf numFmtId="0" fontId="18" fillId="0" borderId="16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41" fontId="18" fillId="0" borderId="16" xfId="8" applyNumberFormat="1" applyFont="1" applyBorder="1" applyProtection="1">
      <protection locked="0"/>
    </xf>
    <xf numFmtId="49" fontId="18" fillId="0" borderId="15" xfId="0" applyNumberFormat="1" applyFont="1" applyBorder="1" applyAlignment="1">
      <alignment horizontal="left"/>
    </xf>
    <xf numFmtId="41" fontId="18" fillId="0" borderId="16" xfId="0" applyNumberFormat="1" applyFont="1" applyBorder="1"/>
    <xf numFmtId="49" fontId="18" fillId="0" borderId="6" xfId="0" applyNumberFormat="1" applyFont="1" applyBorder="1" applyAlignment="1">
      <alignment horizontal="left"/>
    </xf>
    <xf numFmtId="49" fontId="15" fillId="0" borderId="14" xfId="0" applyNumberFormat="1" applyFont="1" applyBorder="1" applyProtection="1">
      <protection locked="0"/>
    </xf>
    <xf numFmtId="49" fontId="15" fillId="0" borderId="15" xfId="0" applyNumberFormat="1" applyFont="1" applyBorder="1" applyProtection="1">
      <protection locked="0"/>
    </xf>
    <xf numFmtId="0" fontId="18" fillId="9" borderId="16" xfId="0" applyFont="1" applyFill="1" applyBorder="1" applyProtection="1">
      <protection locked="0"/>
    </xf>
    <xf numFmtId="0" fontId="18" fillId="9" borderId="13" xfId="0" applyFont="1" applyFill="1" applyBorder="1" applyProtection="1">
      <protection locked="0"/>
    </xf>
    <xf numFmtId="0" fontId="18" fillId="0" borderId="16" xfId="0" applyFont="1" applyBorder="1" applyProtection="1">
      <protection locked="0"/>
    </xf>
    <xf numFmtId="0" fontId="18" fillId="10" borderId="11" xfId="0" applyFont="1" applyFill="1" applyBorder="1" applyProtection="1">
      <protection locked="0"/>
    </xf>
    <xf numFmtId="49" fontId="18" fillId="0" borderId="14" xfId="0" applyNumberFormat="1" applyFont="1" applyBorder="1" applyProtection="1">
      <protection locked="0"/>
    </xf>
    <xf numFmtId="49" fontId="18" fillId="0" borderId="6" xfId="0" applyNumberFormat="1" applyFont="1" applyBorder="1" applyProtection="1">
      <protection locked="0"/>
    </xf>
    <xf numFmtId="41" fontId="18" fillId="9" borderId="11" xfId="0" applyNumberFormat="1" applyFont="1" applyFill="1" applyBorder="1" applyProtection="1">
      <protection locked="0"/>
    </xf>
    <xf numFmtId="41" fontId="18" fillId="0" borderId="7" xfId="0" applyNumberFormat="1" applyFont="1" applyBorder="1" applyProtection="1">
      <protection locked="0"/>
    </xf>
    <xf numFmtId="49" fontId="18" fillId="0" borderId="5" xfId="0" applyNumberFormat="1" applyFont="1" applyBorder="1" applyProtection="1">
      <protection locked="0"/>
    </xf>
    <xf numFmtId="49" fontId="15" fillId="0" borderId="17" xfId="0" applyNumberFormat="1" applyFont="1" applyBorder="1" applyProtection="1">
      <protection locked="0"/>
    </xf>
    <xf numFmtId="49" fontId="18" fillId="0" borderId="18" xfId="0" applyNumberFormat="1" applyFont="1" applyBorder="1" applyProtection="1">
      <protection locked="0"/>
    </xf>
    <xf numFmtId="41" fontId="18" fillId="9" borderId="25" xfId="0" applyNumberFormat="1" applyFont="1" applyFill="1" applyBorder="1" applyProtection="1">
      <protection locked="0"/>
    </xf>
    <xf numFmtId="41" fontId="18" fillId="9" borderId="24" xfId="0" applyNumberFormat="1" applyFont="1" applyFill="1" applyBorder="1" applyProtection="1">
      <protection locked="0"/>
    </xf>
    <xf numFmtId="41" fontId="18" fillId="0" borderId="25" xfId="0" applyNumberFormat="1" applyFont="1" applyBorder="1" applyProtection="1">
      <protection locked="0"/>
    </xf>
    <xf numFmtId="49" fontId="18" fillId="0" borderId="15" xfId="0" applyNumberFormat="1" applyFont="1" applyBorder="1"/>
    <xf numFmtId="41" fontId="18" fillId="9" borderId="7" xfId="0" applyNumberFormat="1" applyFont="1" applyFill="1" applyBorder="1" applyProtection="1">
      <protection locked="0"/>
    </xf>
    <xf numFmtId="0" fontId="18" fillId="0" borderId="15" xfId="0" applyFont="1" applyBorder="1"/>
    <xf numFmtId="49" fontId="15" fillId="0" borderId="26" xfId="0" applyNumberFormat="1" applyFont="1" applyBorder="1" applyProtection="1">
      <protection locked="0"/>
    </xf>
    <xf numFmtId="49" fontId="18" fillId="0" borderId="27" xfId="0" applyNumberFormat="1" applyFont="1" applyBorder="1" applyProtection="1">
      <protection locked="0"/>
    </xf>
    <xf numFmtId="0" fontId="18" fillId="0" borderId="28" xfId="0" applyFont="1" applyBorder="1" applyProtection="1">
      <protection locked="0"/>
    </xf>
    <xf numFmtId="41" fontId="18" fillId="9" borderId="28" xfId="0" applyNumberFormat="1" applyFont="1" applyFill="1" applyBorder="1" applyProtection="1">
      <protection locked="0"/>
    </xf>
    <xf numFmtId="41" fontId="18" fillId="0" borderId="29" xfId="0" applyNumberFormat="1" applyFont="1" applyBorder="1" applyProtection="1">
      <protection locked="0"/>
    </xf>
    <xf numFmtId="41" fontId="18" fillId="10" borderId="29" xfId="0" applyNumberFormat="1" applyFont="1" applyFill="1" applyBorder="1" applyProtection="1">
      <protection locked="0"/>
    </xf>
    <xf numFmtId="49" fontId="15" fillId="0" borderId="12" xfId="0" applyNumberFormat="1" applyFont="1" applyBorder="1" applyProtection="1">
      <protection locked="0"/>
    </xf>
    <xf numFmtId="0" fontId="18" fillId="0" borderId="30" xfId="0" applyFont="1" applyBorder="1"/>
    <xf numFmtId="49" fontId="15" fillId="0" borderId="31" xfId="0" applyNumberFormat="1" applyFont="1" applyBorder="1" applyProtection="1">
      <protection locked="0"/>
    </xf>
    <xf numFmtId="41" fontId="18" fillId="10" borderId="11" xfId="8" applyNumberFormat="1" applyFont="1" applyFill="1" applyBorder="1" applyProtection="1">
      <protection locked="0"/>
    </xf>
    <xf numFmtId="49" fontId="15" fillId="0" borderId="29" xfId="0" applyNumberFormat="1" applyFont="1" applyBorder="1" applyProtection="1">
      <protection locked="0"/>
    </xf>
    <xf numFmtId="49" fontId="18" fillId="0" borderId="29" xfId="0" applyNumberFormat="1" applyFont="1" applyBorder="1" applyProtection="1">
      <protection locked="0"/>
    </xf>
    <xf numFmtId="0" fontId="18" fillId="0" borderId="29" xfId="0" applyFont="1" applyBorder="1" applyProtection="1">
      <protection locked="0"/>
    </xf>
    <xf numFmtId="41" fontId="18" fillId="9" borderId="29" xfId="0" applyNumberFormat="1" applyFont="1" applyFill="1" applyBorder="1" applyProtection="1">
      <protection locked="0"/>
    </xf>
    <xf numFmtId="41" fontId="18" fillId="0" borderId="32" xfId="0" applyNumberFormat="1" applyFont="1" applyBorder="1" applyProtection="1">
      <protection locked="0"/>
    </xf>
    <xf numFmtId="49" fontId="15" fillId="0" borderId="5" xfId="0" applyNumberFormat="1" applyFont="1" applyBorder="1" applyProtection="1">
      <protection locked="0"/>
    </xf>
    <xf numFmtId="49" fontId="18" fillId="0" borderId="33" xfId="0" applyNumberFormat="1" applyFont="1" applyBorder="1" applyProtection="1">
      <protection locked="0"/>
    </xf>
    <xf numFmtId="0" fontId="18" fillId="0" borderId="34" xfId="0" applyFont="1" applyBorder="1" applyProtection="1">
      <protection locked="0"/>
    </xf>
    <xf numFmtId="41" fontId="18" fillId="9" borderId="34" xfId="0" applyNumberFormat="1" applyFont="1" applyFill="1" applyBorder="1" applyProtection="1">
      <protection locked="0"/>
    </xf>
    <xf numFmtId="41" fontId="18" fillId="0" borderId="21" xfId="0" applyNumberFormat="1" applyFont="1" applyBorder="1" applyProtection="1">
      <protection locked="0"/>
    </xf>
    <xf numFmtId="41" fontId="18" fillId="10" borderId="34" xfId="0" applyNumberFormat="1" applyFont="1" applyFill="1" applyBorder="1" applyProtection="1">
      <protection locked="0"/>
    </xf>
    <xf numFmtId="49" fontId="19" fillId="12" borderId="5" xfId="0" applyNumberFormat="1" applyFont="1" applyFill="1" applyBorder="1" applyProtection="1">
      <protection locked="0"/>
    </xf>
    <xf numFmtId="0" fontId="19" fillId="12" borderId="6" xfId="0" applyFont="1" applyFill="1" applyBorder="1" applyAlignment="1">
      <alignment horizontal="right"/>
    </xf>
    <xf numFmtId="0" fontId="19" fillId="12" borderId="11" xfId="0" applyFont="1" applyFill="1" applyBorder="1" applyProtection="1">
      <protection locked="0"/>
    </xf>
    <xf numFmtId="41" fontId="18" fillId="0" borderId="7" xfId="8" applyNumberFormat="1" applyFont="1" applyBorder="1" applyProtection="1">
      <protection locked="0"/>
    </xf>
    <xf numFmtId="0" fontId="19" fillId="12" borderId="15" xfId="0" applyFont="1" applyFill="1" applyBorder="1" applyAlignment="1">
      <alignment horizontal="right"/>
    </xf>
    <xf numFmtId="49" fontId="19" fillId="12" borderId="26" xfId="0" applyNumberFormat="1" applyFont="1" applyFill="1" applyBorder="1" applyProtection="1">
      <protection locked="0"/>
    </xf>
    <xf numFmtId="0" fontId="19" fillId="12" borderId="27" xfId="0" applyFont="1" applyFill="1" applyBorder="1" applyAlignment="1">
      <alignment horizontal="right"/>
    </xf>
    <xf numFmtId="0" fontId="19" fillId="12" borderId="28" xfId="0" applyFont="1" applyFill="1" applyBorder="1" applyProtection="1">
      <protection locked="0"/>
    </xf>
    <xf numFmtId="41" fontId="18" fillId="10" borderId="28" xfId="0" applyNumberFormat="1" applyFont="1" applyFill="1" applyBorder="1" applyProtection="1">
      <protection locked="0"/>
    </xf>
    <xf numFmtId="49" fontId="19" fillId="0" borderId="0" xfId="0" applyNumberFormat="1" applyFont="1" applyProtection="1">
      <protection locked="0"/>
    </xf>
    <xf numFmtId="0" fontId="19" fillId="0" borderId="0" xfId="0" applyFont="1" applyAlignment="1">
      <alignment horizontal="right"/>
    </xf>
    <xf numFmtId="0" fontId="19" fillId="0" borderId="0" xfId="0" applyFont="1" applyProtection="1">
      <protection locked="0"/>
    </xf>
    <xf numFmtId="41" fontId="18" fillId="10" borderId="7" xfId="0" applyNumberFormat="1" applyFont="1" applyFill="1" applyBorder="1" applyProtection="1">
      <protection locked="0"/>
    </xf>
    <xf numFmtId="41" fontId="18" fillId="13" borderId="7" xfId="0" applyNumberFormat="1" applyFont="1" applyFill="1" applyBorder="1" applyProtection="1"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  <xf numFmtId="0" fontId="18" fillId="0" borderId="15" xfId="0" applyFont="1" applyBorder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5" fillId="0" borderId="26" xfId="0" quotePrefix="1" applyFont="1" applyBorder="1" applyAlignment="1">
      <alignment vertical="top" wrapText="1"/>
    </xf>
    <xf numFmtId="0" fontId="15" fillId="0" borderId="28" xfId="0" quotePrefix="1" applyFont="1" applyBorder="1" applyAlignment="1">
      <alignment horizontal="center" vertical="top" wrapText="1"/>
    </xf>
    <xf numFmtId="37" fontId="15" fillId="0" borderId="28" xfId="0" applyNumberFormat="1" applyFont="1" applyBorder="1" applyAlignment="1">
      <alignment horizontal="center" vertical="top" wrapText="1"/>
    </xf>
    <xf numFmtId="37" fontId="15" fillId="0" borderId="27" xfId="0" quotePrefix="1" applyNumberFormat="1" applyFont="1" applyBorder="1" applyAlignment="1">
      <alignment horizontal="center" vertical="top" wrapText="1"/>
    </xf>
    <xf numFmtId="37" fontId="15" fillId="0" borderId="29" xfId="0" applyNumberFormat="1" applyFont="1" applyBorder="1" applyAlignment="1">
      <alignment horizontal="center" vertical="top" wrapText="1"/>
    </xf>
    <xf numFmtId="0" fontId="15" fillId="0" borderId="29" xfId="0" applyFont="1" applyBorder="1"/>
    <xf numFmtId="0" fontId="15" fillId="0" borderId="0" xfId="0" applyFont="1"/>
    <xf numFmtId="0" fontId="15" fillId="0" borderId="35" xfId="0" applyFont="1" applyBorder="1" applyAlignment="1" applyProtection="1">
      <alignment horizontal="left"/>
      <protection locked="0"/>
    </xf>
    <xf numFmtId="0" fontId="18" fillId="0" borderId="31" xfId="0" applyFont="1" applyBorder="1" applyProtection="1">
      <protection locked="0"/>
    </xf>
    <xf numFmtId="41" fontId="18" fillId="0" borderId="9" xfId="0" applyNumberFormat="1" applyFont="1" applyBorder="1" applyProtection="1">
      <protection locked="0"/>
    </xf>
    <xf numFmtId="41" fontId="18" fillId="0" borderId="0" xfId="0" applyNumberFormat="1" applyFont="1" applyProtection="1">
      <protection locked="0"/>
    </xf>
    <xf numFmtId="41" fontId="18" fillId="0" borderId="10" xfId="0" applyNumberFormat="1" applyFont="1" applyBorder="1" applyProtection="1">
      <protection locked="0"/>
    </xf>
    <xf numFmtId="0" fontId="23" fillId="11" borderId="5" xfId="0" applyFont="1" applyFill="1" applyBorder="1" applyAlignment="1" applyProtection="1">
      <alignment horizontal="right"/>
      <protection locked="0"/>
    </xf>
    <xf numFmtId="0" fontId="23" fillId="11" borderId="11" xfId="0" applyFont="1" applyFill="1" applyBorder="1" applyProtection="1">
      <protection locked="0"/>
    </xf>
    <xf numFmtId="0" fontId="24" fillId="0" borderId="16" xfId="9" applyFont="1" applyBorder="1" applyAlignment="1" applyProtection="1">
      <alignment horizontal="left"/>
    </xf>
    <xf numFmtId="41" fontId="23" fillId="12" borderId="16" xfId="8" applyNumberFormat="1" applyFont="1" applyFill="1" applyBorder="1" applyProtection="1">
      <protection locked="0"/>
    </xf>
    <xf numFmtId="41" fontId="18" fillId="0" borderId="14" xfId="0" applyNumberFormat="1" applyFont="1" applyBorder="1" applyProtection="1">
      <protection locked="0"/>
    </xf>
    <xf numFmtId="49" fontId="15" fillId="0" borderId="5" xfId="0" applyNumberFormat="1" applyFont="1" applyBorder="1" applyAlignment="1" applyProtection="1">
      <alignment horizontal="left"/>
      <protection locked="0"/>
    </xf>
    <xf numFmtId="0" fontId="15" fillId="0" borderId="11" xfId="0" applyFont="1" applyBorder="1" applyProtection="1">
      <protection locked="0"/>
    </xf>
    <xf numFmtId="0" fontId="23" fillId="11" borderId="5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16" xfId="0" applyFont="1" applyBorder="1"/>
    <xf numFmtId="0" fontId="18" fillId="0" borderId="5" xfId="0" applyFont="1" applyBorder="1" applyAlignment="1" applyProtection="1">
      <alignment horizontal="left" vertical="top"/>
      <protection locked="0"/>
    </xf>
    <xf numFmtId="0" fontId="18" fillId="0" borderId="11" xfId="0" applyFont="1" applyBorder="1" applyAlignment="1" applyProtection="1">
      <alignment horizontal="left" wrapText="1"/>
      <protection locked="0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11" xfId="0" applyFont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horizontal="left"/>
      <protection locked="0"/>
    </xf>
    <xf numFmtId="41" fontId="18" fillId="14" borderId="16" xfId="8" applyNumberFormat="1" applyFont="1" applyFill="1" applyBorder="1" applyProtection="1">
      <protection locked="0"/>
    </xf>
    <xf numFmtId="0" fontId="18" fillId="0" borderId="14" xfId="0" applyFont="1" applyBorder="1" applyProtection="1">
      <protection locked="0"/>
    </xf>
    <xf numFmtId="0" fontId="18" fillId="0" borderId="2" xfId="0" applyFont="1" applyBorder="1" applyProtection="1">
      <protection locked="0"/>
    </xf>
    <xf numFmtId="0" fontId="18" fillId="0" borderId="8" xfId="0" applyFont="1" applyBorder="1" applyProtection="1">
      <protection locked="0"/>
    </xf>
    <xf numFmtId="41" fontId="18" fillId="0" borderId="4" xfId="0" applyNumberFormat="1" applyFont="1" applyBorder="1" applyProtection="1">
      <protection locked="0"/>
    </xf>
    <xf numFmtId="0" fontId="18" fillId="0" borderId="4" xfId="0" applyFont="1" applyBorder="1"/>
    <xf numFmtId="0" fontId="15" fillId="0" borderId="36" xfId="0" applyFont="1" applyBorder="1" applyProtection="1">
      <protection locked="0"/>
    </xf>
    <xf numFmtId="0" fontId="15" fillId="0" borderId="37" xfId="0" applyFont="1" applyBorder="1" applyProtection="1">
      <protection locked="0"/>
    </xf>
    <xf numFmtId="41" fontId="18" fillId="0" borderId="38" xfId="0" applyNumberFormat="1" applyFont="1" applyBorder="1" applyProtection="1">
      <protection locked="0"/>
    </xf>
    <xf numFmtId="41" fontId="18" fillId="0" borderId="36" xfId="0" applyNumberFormat="1" applyFont="1" applyBorder="1" applyProtection="1">
      <protection locked="0"/>
    </xf>
    <xf numFmtId="41" fontId="18" fillId="15" borderId="38" xfId="0" applyNumberFormat="1" applyFont="1" applyFill="1" applyBorder="1" applyProtection="1">
      <protection locked="0"/>
    </xf>
    <xf numFmtId="0" fontId="18" fillId="0" borderId="38" xfId="0" applyFont="1" applyBorder="1"/>
    <xf numFmtId="41" fontId="18" fillId="0" borderId="11" xfId="0" applyNumberFormat="1" applyFont="1" applyBorder="1" applyProtection="1">
      <protection locked="0"/>
    </xf>
    <xf numFmtId="41" fontId="18" fillId="0" borderId="6" xfId="0" applyNumberFormat="1" applyFont="1" applyBorder="1" applyProtection="1">
      <protection locked="0"/>
    </xf>
    <xf numFmtId="41" fontId="18" fillId="15" borderId="7" xfId="0" applyNumberFormat="1" applyFont="1" applyFill="1" applyBorder="1" applyProtection="1"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8" fillId="0" borderId="9" xfId="0" applyFont="1" applyBorder="1" applyProtection="1">
      <protection locked="0"/>
    </xf>
    <xf numFmtId="0" fontId="15" fillId="0" borderId="36" xfId="0" applyFont="1" applyBorder="1" applyAlignment="1" applyProtection="1">
      <alignment horizontal="left"/>
      <protection locked="0"/>
    </xf>
    <xf numFmtId="0" fontId="18" fillId="0" borderId="37" xfId="0" applyFont="1" applyBorder="1" applyProtection="1">
      <protection locked="0"/>
    </xf>
    <xf numFmtId="41" fontId="18" fillId="0" borderId="37" xfId="0" applyNumberFormat="1" applyFont="1" applyBorder="1" applyProtection="1">
      <protection locked="0"/>
    </xf>
    <xf numFmtId="41" fontId="18" fillId="0" borderId="39" xfId="0" applyNumberFormat="1" applyFont="1" applyBorder="1" applyProtection="1">
      <protection locked="0"/>
    </xf>
    <xf numFmtId="0" fontId="25" fillId="0" borderId="16" xfId="0" applyFont="1" applyBorder="1"/>
    <xf numFmtId="41" fontId="18" fillId="15" borderId="16" xfId="0" applyNumberFormat="1" applyFont="1" applyFill="1" applyBorder="1" applyProtection="1"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26" fillId="0" borderId="16" xfId="9" applyFont="1" applyBorder="1" applyAlignment="1" applyProtection="1">
      <alignment horizontal="left"/>
    </xf>
    <xf numFmtId="41" fontId="23" fillId="11" borderId="16" xfId="0" applyNumberFormat="1" applyFont="1" applyFill="1" applyBorder="1" applyProtection="1">
      <protection locked="0"/>
    </xf>
    <xf numFmtId="41" fontId="23" fillId="11" borderId="14" xfId="0" applyNumberFormat="1" applyFont="1" applyFill="1" applyBorder="1" applyProtection="1">
      <protection locked="0"/>
    </xf>
    <xf numFmtId="0" fontId="4" fillId="0" borderId="16" xfId="9" applyFont="1" applyBorder="1" applyAlignment="1" applyProtection="1">
      <alignment horizontal="left"/>
    </xf>
    <xf numFmtId="41" fontId="18" fillId="13" borderId="16" xfId="0" applyNumberFormat="1" applyFont="1" applyFill="1" applyBorder="1" applyProtection="1">
      <protection locked="0"/>
    </xf>
    <xf numFmtId="0" fontId="18" fillId="0" borderId="5" xfId="0" applyFont="1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left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18" fillId="0" borderId="41" xfId="0" applyFont="1" applyBorder="1" applyProtection="1">
      <protection locked="0"/>
    </xf>
    <xf numFmtId="41" fontId="18" fillId="0" borderId="41" xfId="0" applyNumberFormat="1" applyFont="1" applyBorder="1" applyProtection="1">
      <protection locked="0"/>
    </xf>
    <xf numFmtId="41" fontId="18" fillId="0" borderId="42" xfId="0" applyNumberFormat="1" applyFont="1" applyBorder="1" applyProtection="1">
      <protection locked="0"/>
    </xf>
    <xf numFmtId="41" fontId="18" fillId="0" borderId="43" xfId="0" applyNumberFormat="1" applyFont="1" applyBorder="1" applyProtection="1">
      <protection locked="0"/>
    </xf>
    <xf numFmtId="0" fontId="18" fillId="0" borderId="29" xfId="0" applyFont="1" applyBorder="1"/>
    <xf numFmtId="0" fontId="18" fillId="0" borderId="35" xfId="0" applyFont="1" applyBorder="1" applyAlignment="1" applyProtection="1">
      <alignment horizontal="left"/>
      <protection locked="0"/>
    </xf>
    <xf numFmtId="0" fontId="15" fillId="0" borderId="31" xfId="0" applyFont="1" applyBorder="1" applyProtection="1">
      <protection locked="0"/>
    </xf>
    <xf numFmtId="41" fontId="18" fillId="0" borderId="31" xfId="0" applyNumberFormat="1" applyFont="1" applyBorder="1" applyProtection="1">
      <protection locked="0"/>
    </xf>
    <xf numFmtId="41" fontId="18" fillId="0" borderId="30" xfId="0" applyNumberFormat="1" applyFont="1" applyBorder="1" applyProtection="1">
      <protection locked="0"/>
    </xf>
    <xf numFmtId="0" fontId="15" fillId="0" borderId="18" xfId="0" applyFont="1" applyBorder="1" applyAlignment="1" applyProtection="1">
      <alignment horizontal="left"/>
      <protection locked="0"/>
    </xf>
    <xf numFmtId="41" fontId="18" fillId="0" borderId="19" xfId="0" applyNumberFormat="1" applyFont="1" applyBorder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0" fontId="18" fillId="0" borderId="6" xfId="0" applyFont="1" applyBorder="1" applyAlignment="1" applyProtection="1">
      <alignment horizontal="left"/>
      <protection locked="0"/>
    </xf>
    <xf numFmtId="0" fontId="18" fillId="0" borderId="0" xfId="0" applyFont="1" applyProtection="1">
      <protection hidden="1"/>
    </xf>
    <xf numFmtId="37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15" xfId="0" applyFont="1" applyBorder="1" applyAlignment="1" applyProtection="1">
      <alignment horizontal="left"/>
      <protection locked="0"/>
    </xf>
    <xf numFmtId="37" fontId="18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4" fontId="13" fillId="0" borderId="0" xfId="7" applyFont="1" applyAlignment="1">
      <alignment horizontal="right"/>
    </xf>
    <xf numFmtId="44" fontId="13" fillId="0" borderId="0" xfId="7" applyFont="1"/>
    <xf numFmtId="43" fontId="2" fillId="0" borderId="0" xfId="7" applyNumberFormat="1" applyFont="1"/>
    <xf numFmtId="44" fontId="2" fillId="0" borderId="6" xfId="7" applyFont="1" applyBorder="1"/>
    <xf numFmtId="0" fontId="4" fillId="0" borderId="6" xfId="0" applyFont="1" applyBorder="1" applyAlignment="1">
      <alignment horizontal="right"/>
    </xf>
    <xf numFmtId="44" fontId="4" fillId="0" borderId="6" xfId="7" applyBorder="1"/>
    <xf numFmtId="44" fontId="27" fillId="0" borderId="0" xfId="7" applyFont="1"/>
    <xf numFmtId="166" fontId="13" fillId="0" borderId="0" xfId="7" applyNumberFormat="1" applyFont="1"/>
    <xf numFmtId="44" fontId="0" fillId="0" borderId="0" xfId="0" applyNumberForma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4" fontId="16" fillId="0" borderId="0" xfId="0" applyNumberFormat="1" applyFont="1" applyAlignment="1">
      <alignment horizontal="center" vertical="center" wrapText="1"/>
    </xf>
    <xf numFmtId="166" fontId="0" fillId="0" borderId="0" xfId="7" applyNumberFormat="1" applyFont="1"/>
    <xf numFmtId="166" fontId="0" fillId="0" borderId="0" xfId="0" applyNumberFormat="1"/>
    <xf numFmtId="166" fontId="2" fillId="0" borderId="3" xfId="7" applyNumberFormat="1" applyFont="1" applyBorder="1"/>
    <xf numFmtId="166" fontId="0" fillId="0" borderId="4" xfId="0" applyNumberFormat="1" applyBorder="1"/>
    <xf numFmtId="166" fontId="2" fillId="0" borderId="6" xfId="7" applyNumberFormat="1" applyFont="1" applyBorder="1"/>
    <xf numFmtId="166" fontId="0" fillId="0" borderId="7" xfId="0" applyNumberFormat="1" applyBorder="1"/>
    <xf numFmtId="43" fontId="2" fillId="0" borderId="0" xfId="0" applyNumberFormat="1" applyFont="1"/>
    <xf numFmtId="166" fontId="4" fillId="0" borderId="6" xfId="7" applyNumberFormat="1" applyBorder="1"/>
    <xf numFmtId="166" fontId="4" fillId="0" borderId="7" xfId="0" applyNumberFormat="1" applyFont="1" applyBorder="1"/>
    <xf numFmtId="0" fontId="0" fillId="0" borderId="3" xfId="0" applyBorder="1"/>
    <xf numFmtId="0" fontId="0" fillId="0" borderId="6" xfId="0" applyBorder="1"/>
    <xf numFmtId="41" fontId="18" fillId="0" borderId="16" xfId="0" applyNumberFormat="1" applyFont="1" applyBorder="1" applyAlignment="1" applyProtection="1">
      <alignment vertical="center"/>
      <protection locked="0"/>
    </xf>
    <xf numFmtId="41" fontId="18" fillId="9" borderId="13" xfId="0" applyNumberFormat="1" applyFont="1" applyFill="1" applyBorder="1" applyAlignment="1" applyProtection="1">
      <alignment vertical="center"/>
      <protection locked="0"/>
    </xf>
    <xf numFmtId="41" fontId="18" fillId="10" borderId="13" xfId="0" applyNumberFormat="1" applyFont="1" applyFill="1" applyBorder="1" applyAlignment="1" applyProtection="1">
      <alignment vertical="center"/>
      <protection locked="0"/>
    </xf>
    <xf numFmtId="49" fontId="15" fillId="0" borderId="6" xfId="0" applyNumberFormat="1" applyFont="1" applyBorder="1" applyProtection="1">
      <protection locked="0"/>
    </xf>
    <xf numFmtId="41" fontId="15" fillId="9" borderId="11" xfId="0" applyNumberFormat="1" applyFont="1" applyFill="1" applyBorder="1" applyProtection="1">
      <protection locked="0"/>
    </xf>
    <xf numFmtId="41" fontId="15" fillId="0" borderId="7" xfId="0" applyNumberFormat="1" applyFont="1" applyBorder="1" applyProtection="1">
      <protection locked="0"/>
    </xf>
    <xf numFmtId="167" fontId="18" fillId="0" borderId="0" xfId="10" applyNumberFormat="1" applyFont="1"/>
    <xf numFmtId="0" fontId="15" fillId="8" borderId="0" xfId="0" applyFont="1" applyFill="1" applyAlignment="1">
      <alignment horizontal="right"/>
    </xf>
    <xf numFmtId="167" fontId="15" fillId="8" borderId="0" xfId="0" applyNumberFormat="1" applyFont="1" applyFill="1"/>
    <xf numFmtId="167" fontId="18" fillId="0" borderId="3" xfId="10" applyNumberFormat="1" applyFont="1" applyBorder="1"/>
    <xf numFmtId="167" fontId="18" fillId="0" borderId="33" xfId="10" applyNumberFormat="1" applyFont="1" applyBorder="1"/>
    <xf numFmtId="41" fontId="18" fillId="0" borderId="2" xfId="0" applyNumberFormat="1" applyFont="1" applyBorder="1" applyProtection="1">
      <protection locked="0"/>
    </xf>
    <xf numFmtId="0" fontId="28" fillId="0" borderId="13" xfId="0" applyFont="1" applyBorder="1" applyProtection="1">
      <protection locked="0"/>
    </xf>
    <xf numFmtId="0" fontId="29" fillId="0" borderId="0" xfId="11" applyFont="1"/>
    <xf numFmtId="0" fontId="30" fillId="0" borderId="0" xfId="11" applyFont="1"/>
    <xf numFmtId="167" fontId="30" fillId="0" borderId="0" xfId="10" applyNumberFormat="1" applyFont="1"/>
    <xf numFmtId="0" fontId="30" fillId="0" borderId="0" xfId="11" applyFont="1" applyAlignment="1">
      <alignment vertical="top"/>
    </xf>
    <xf numFmtId="0" fontId="30" fillId="0" borderId="0" xfId="11" applyFont="1" applyAlignment="1">
      <alignment vertical="top" wrapText="1"/>
    </xf>
    <xf numFmtId="0" fontId="30" fillId="0" borderId="0" xfId="11" applyFont="1" applyAlignment="1">
      <alignment horizontal="left" vertical="top"/>
    </xf>
    <xf numFmtId="0" fontId="30" fillId="0" borderId="0" xfId="11" applyFont="1" applyAlignment="1">
      <alignment horizontal="left" vertical="top" wrapText="1" indent="1"/>
    </xf>
    <xf numFmtId="0" fontId="29" fillId="0" borderId="6" xfId="11" applyFont="1" applyBorder="1"/>
    <xf numFmtId="167" fontId="29" fillId="0" borderId="6" xfId="10" applyNumberFormat="1" applyFont="1" applyBorder="1"/>
    <xf numFmtId="167" fontId="30" fillId="0" borderId="33" xfId="10" applyNumberFormat="1" applyFont="1" applyBorder="1"/>
    <xf numFmtId="42" fontId="4" fillId="0" borderId="0" xfId="7" applyNumberFormat="1"/>
    <xf numFmtId="42" fontId="2" fillId="0" borderId="7" xfId="0" applyNumberFormat="1" applyFont="1" applyBorder="1"/>
    <xf numFmtId="1" fontId="0" fillId="0" borderId="0" xfId="7" applyNumberFormat="1" applyFont="1"/>
    <xf numFmtId="1" fontId="0" fillId="0" borderId="0" xfId="0" applyNumberFormat="1"/>
    <xf numFmtId="44" fontId="12" fillId="0" borderId="0" xfId="7" applyFont="1" applyAlignment="1">
      <alignment horizontal="right"/>
    </xf>
    <xf numFmtId="42" fontId="6" fillId="0" borderId="0" xfId="7" applyNumberFormat="1" applyFont="1"/>
    <xf numFmtId="49" fontId="15" fillId="0" borderId="3" xfId="11" applyNumberFormat="1" applyFont="1" applyBorder="1" applyAlignment="1">
      <alignment horizontal="left"/>
    </xf>
    <xf numFmtId="49" fontId="18" fillId="0" borderId="3" xfId="11" applyNumberFormat="1" applyFont="1" applyBorder="1" applyAlignment="1">
      <alignment horizontal="left"/>
    </xf>
    <xf numFmtId="0" fontId="18" fillId="0" borderId="8" xfId="11" applyFont="1" applyBorder="1"/>
    <xf numFmtId="164" fontId="15" fillId="0" borderId="4" xfId="11" applyNumberFormat="1" applyFont="1" applyBorder="1" applyAlignment="1">
      <alignment horizontal="center"/>
    </xf>
    <xf numFmtId="164" fontId="15" fillId="0" borderId="8" xfId="11" applyNumberFormat="1" applyFont="1" applyBorder="1" applyAlignment="1">
      <alignment horizontal="center"/>
    </xf>
    <xf numFmtId="164" fontId="15" fillId="0" borderId="2" xfId="11" applyNumberFormat="1" applyFont="1" applyBorder="1" applyAlignment="1">
      <alignment horizontal="center"/>
    </xf>
    <xf numFmtId="0" fontId="18" fillId="0" borderId="0" xfId="11" applyFont="1"/>
    <xf numFmtId="49" fontId="15" fillId="0" borderId="0" xfId="11" applyNumberFormat="1" applyFont="1" applyAlignment="1">
      <alignment horizontal="left"/>
    </xf>
    <xf numFmtId="49" fontId="18" fillId="0" borderId="0" xfId="11" applyNumberFormat="1" applyFont="1" applyAlignment="1">
      <alignment horizontal="left"/>
    </xf>
    <xf numFmtId="0" fontId="18" fillId="0" borderId="9" xfId="11" applyFont="1" applyBorder="1"/>
    <xf numFmtId="0" fontId="15" fillId="0" borderId="9" xfId="11" applyFont="1" applyBorder="1"/>
    <xf numFmtId="0" fontId="15" fillId="0" borderId="10" xfId="11" applyFont="1" applyBorder="1" applyAlignment="1">
      <alignment horizontal="center"/>
    </xf>
    <xf numFmtId="0" fontId="15" fillId="0" borderId="5" xfId="11" applyFont="1" applyBorder="1" applyAlignment="1" applyProtection="1">
      <alignment horizontal="left"/>
      <protection hidden="1"/>
    </xf>
    <xf numFmtId="0" fontId="15" fillId="0" borderId="11" xfId="11" applyFont="1" applyBorder="1" applyProtection="1">
      <protection hidden="1"/>
    </xf>
    <xf numFmtId="0" fontId="15" fillId="0" borderId="10" xfId="11" applyFont="1" applyBorder="1" applyAlignment="1" applyProtection="1">
      <alignment horizontal="center"/>
      <protection hidden="1"/>
    </xf>
    <xf numFmtId="49" fontId="18" fillId="0" borderId="12" xfId="11" applyNumberFormat="1" applyFont="1" applyBorder="1" applyAlignment="1">
      <alignment horizontal="left" vertical="center" wrapText="1"/>
    </xf>
    <xf numFmtId="0" fontId="13" fillId="0" borderId="0" xfId="11" applyFont="1" applyAlignment="1">
      <alignment horizontal="center" vertical="center" wrapText="1"/>
    </xf>
    <xf numFmtId="0" fontId="13" fillId="0" borderId="9" xfId="11" applyFont="1" applyBorder="1" applyAlignment="1">
      <alignment horizontal="center" vertical="center" wrapText="1"/>
    </xf>
    <xf numFmtId="0" fontId="15" fillId="0" borderId="9" xfId="11" applyFont="1" applyBorder="1" applyAlignment="1">
      <alignment horizontal="center" vertical="center" wrapText="1"/>
    </xf>
    <xf numFmtId="0" fontId="15" fillId="0" borderId="4" xfId="11" applyFont="1" applyBorder="1" applyAlignment="1">
      <alignment horizontal="center" vertical="center" wrapText="1"/>
    </xf>
    <xf numFmtId="0" fontId="15" fillId="0" borderId="9" xfId="11" applyFont="1" applyBorder="1" applyAlignment="1">
      <alignment vertical="center" wrapText="1"/>
    </xf>
    <xf numFmtId="0" fontId="15" fillId="0" borderId="10" xfId="11" applyFont="1" applyBorder="1" applyAlignment="1">
      <alignment horizontal="center" vertical="center" wrapText="1"/>
    </xf>
    <xf numFmtId="0" fontId="18" fillId="0" borderId="0" xfId="11" applyFont="1" applyAlignment="1">
      <alignment vertical="center" wrapText="1"/>
    </xf>
    <xf numFmtId="0" fontId="18" fillId="0" borderId="0" xfId="11" applyFont="1" applyAlignment="1">
      <alignment wrapText="1"/>
    </xf>
    <xf numFmtId="49" fontId="18" fillId="0" borderId="5" xfId="11" applyNumberFormat="1" applyFont="1" applyBorder="1" applyAlignment="1">
      <alignment horizontal="left" wrapText="1"/>
    </xf>
    <xf numFmtId="0" fontId="13" fillId="0" borderId="6" xfId="11" applyFont="1" applyBorder="1" applyAlignment="1">
      <alignment horizontal="center" vertical="center" wrapText="1"/>
    </xf>
    <xf numFmtId="0" fontId="13" fillId="0" borderId="11" xfId="11" applyFont="1" applyBorder="1" applyAlignment="1">
      <alignment horizontal="center" vertical="center" wrapText="1"/>
    </xf>
    <xf numFmtId="165" fontId="15" fillId="0" borderId="11" xfId="11" applyNumberFormat="1" applyFont="1" applyBorder="1" applyAlignment="1" applyProtection="1">
      <alignment horizontal="center" wrapText="1"/>
      <protection hidden="1"/>
    </xf>
    <xf numFmtId="0" fontId="15" fillId="0" borderId="7" xfId="11" applyFont="1" applyBorder="1" applyAlignment="1">
      <alignment horizontal="center" wrapText="1"/>
    </xf>
    <xf numFmtId="0" fontId="15" fillId="0" borderId="11" xfId="11" applyFont="1" applyBorder="1" applyAlignment="1">
      <alignment horizontal="center" wrapText="1"/>
    </xf>
    <xf numFmtId="0" fontId="15" fillId="0" borderId="13" xfId="11" applyFont="1" applyBorder="1" applyAlignment="1">
      <alignment wrapText="1"/>
    </xf>
    <xf numFmtId="49" fontId="15" fillId="0" borderId="14" xfId="11" applyNumberFormat="1" applyFont="1" applyBorder="1" applyAlignment="1" applyProtection="1">
      <alignment horizontal="left"/>
      <protection locked="0"/>
    </xf>
    <xf numFmtId="49" fontId="15" fillId="0" borderId="15" xfId="11" applyNumberFormat="1" applyFont="1" applyBorder="1" applyAlignment="1" applyProtection="1">
      <alignment horizontal="left"/>
      <protection locked="0"/>
    </xf>
    <xf numFmtId="0" fontId="15" fillId="0" borderId="13" xfId="11" applyFont="1" applyBorder="1" applyProtection="1">
      <protection locked="0"/>
    </xf>
    <xf numFmtId="41" fontId="18" fillId="9" borderId="16" xfId="11" applyNumberFormat="1" applyFont="1" applyFill="1" applyBorder="1" applyProtection="1">
      <protection locked="0"/>
    </xf>
    <xf numFmtId="41" fontId="18" fillId="0" borderId="16" xfId="11" applyNumberFormat="1" applyFont="1" applyBorder="1" applyProtection="1">
      <protection locked="0"/>
    </xf>
    <xf numFmtId="41" fontId="18" fillId="9" borderId="13" xfId="11" applyNumberFormat="1" applyFont="1" applyFill="1" applyBorder="1" applyProtection="1">
      <protection locked="0"/>
    </xf>
    <xf numFmtId="41" fontId="18" fillId="10" borderId="13" xfId="11" applyNumberFormat="1" applyFont="1" applyFill="1" applyBorder="1" applyProtection="1">
      <protection locked="0"/>
    </xf>
    <xf numFmtId="0" fontId="18" fillId="0" borderId="16" xfId="11" applyFont="1" applyBorder="1"/>
    <xf numFmtId="49" fontId="18" fillId="0" borderId="14" xfId="11" applyNumberFormat="1" applyFont="1" applyBorder="1" applyAlignment="1" applyProtection="1">
      <alignment horizontal="left"/>
      <protection locked="0"/>
    </xf>
    <xf numFmtId="49" fontId="18" fillId="0" borderId="6" xfId="11" applyNumberFormat="1" applyFont="1" applyBorder="1" applyAlignment="1" applyProtection="1">
      <alignment horizontal="left"/>
      <protection locked="0"/>
    </xf>
    <xf numFmtId="0" fontId="18" fillId="0" borderId="11" xfId="11" applyFont="1" applyBorder="1" applyProtection="1">
      <protection locked="0"/>
    </xf>
    <xf numFmtId="49" fontId="18" fillId="0" borderId="5" xfId="11" applyNumberFormat="1" applyFont="1" applyBorder="1" applyAlignment="1" applyProtection="1">
      <alignment horizontal="left"/>
      <protection locked="0"/>
    </xf>
    <xf numFmtId="0" fontId="18" fillId="0" borderId="14" xfId="11" applyFont="1" applyBorder="1"/>
    <xf numFmtId="49" fontId="18" fillId="0" borderId="15" xfId="11" applyNumberFormat="1" applyFont="1" applyBorder="1" applyAlignment="1" applyProtection="1">
      <alignment horizontal="left"/>
      <protection locked="0"/>
    </xf>
    <xf numFmtId="0" fontId="18" fillId="0" borderId="5" xfId="11" applyFont="1" applyBorder="1"/>
    <xf numFmtId="0" fontId="18" fillId="0" borderId="13" xfId="11" applyFont="1" applyBorder="1" applyProtection="1">
      <protection locked="0"/>
    </xf>
    <xf numFmtId="49" fontId="15" fillId="0" borderId="17" xfId="11" applyNumberFormat="1" applyFont="1" applyBorder="1" applyAlignment="1" applyProtection="1">
      <alignment horizontal="left"/>
      <protection locked="0"/>
    </xf>
    <xf numFmtId="49" fontId="18" fillId="0" borderId="18" xfId="11" applyNumberFormat="1" applyFont="1" applyBorder="1" applyAlignment="1" applyProtection="1">
      <alignment horizontal="left"/>
      <protection locked="0"/>
    </xf>
    <xf numFmtId="0" fontId="18" fillId="0" borderId="19" xfId="11" applyFont="1" applyBorder="1" applyProtection="1">
      <protection locked="0"/>
    </xf>
    <xf numFmtId="41" fontId="18" fillId="9" borderId="19" xfId="11" applyNumberFormat="1" applyFont="1" applyFill="1" applyBorder="1" applyProtection="1">
      <protection locked="0"/>
    </xf>
    <xf numFmtId="41" fontId="18" fillId="0" borderId="20" xfId="11" applyNumberFormat="1" applyFont="1" applyBorder="1" applyProtection="1">
      <protection locked="0"/>
    </xf>
    <xf numFmtId="41" fontId="18" fillId="10" borderId="21" xfId="11" applyNumberFormat="1" applyFont="1" applyFill="1" applyBorder="1" applyProtection="1">
      <protection locked="0"/>
    </xf>
    <xf numFmtId="49" fontId="15" fillId="0" borderId="22" xfId="11" applyNumberFormat="1" applyFont="1" applyBorder="1" applyAlignment="1" applyProtection="1">
      <alignment horizontal="left"/>
      <protection locked="0"/>
    </xf>
    <xf numFmtId="49" fontId="18" fillId="0" borderId="23" xfId="11" applyNumberFormat="1" applyFont="1" applyBorder="1" applyAlignment="1" applyProtection="1">
      <alignment horizontal="left"/>
      <protection locked="0"/>
    </xf>
    <xf numFmtId="0" fontId="15" fillId="0" borderId="24" xfId="11" applyFont="1" applyBorder="1" applyProtection="1">
      <protection locked="0"/>
    </xf>
    <xf numFmtId="41" fontId="18" fillId="10" borderId="11" xfId="11" applyNumberFormat="1" applyFont="1" applyFill="1" applyBorder="1" applyProtection="1">
      <protection locked="0"/>
    </xf>
    <xf numFmtId="0" fontId="18" fillId="0" borderId="5" xfId="11" applyFont="1" applyBorder="1" applyAlignment="1" applyProtection="1">
      <alignment horizontal="left"/>
      <protection locked="0"/>
    </xf>
    <xf numFmtId="41" fontId="19" fillId="11" borderId="15" xfId="11" applyNumberFormat="1" applyFont="1" applyFill="1" applyBorder="1" applyAlignment="1" applyProtection="1">
      <alignment horizontal="right"/>
      <protection locked="0"/>
    </xf>
    <xf numFmtId="41" fontId="19" fillId="11" borderId="13" xfId="11" applyNumberFormat="1" applyFont="1" applyFill="1" applyBorder="1" applyProtection="1">
      <protection locked="0"/>
    </xf>
    <xf numFmtId="6" fontId="18" fillId="0" borderId="16" xfId="9" applyNumberFormat="1" applyFont="1" applyBorder="1" applyAlignment="1" applyProtection="1">
      <alignment horizontal="left"/>
    </xf>
    <xf numFmtId="0" fontId="18" fillId="0" borderId="16" xfId="11" applyFont="1" applyBorder="1" applyAlignment="1">
      <alignment horizontal="left"/>
    </xf>
    <xf numFmtId="49" fontId="19" fillId="11" borderId="6" xfId="11" applyNumberFormat="1" applyFont="1" applyFill="1" applyBorder="1" applyAlignment="1" applyProtection="1">
      <alignment horizontal="right"/>
      <protection locked="0"/>
    </xf>
    <xf numFmtId="0" fontId="19" fillId="11" borderId="11" xfId="11" applyFont="1" applyFill="1" applyBorder="1" applyProtection="1">
      <protection locked="0"/>
    </xf>
    <xf numFmtId="6" fontId="18" fillId="0" borderId="16" xfId="11" applyNumberFormat="1" applyFont="1" applyBorder="1" applyAlignment="1">
      <alignment horizontal="left"/>
    </xf>
    <xf numFmtId="49" fontId="18" fillId="0" borderId="5" xfId="11" applyNumberFormat="1" applyFont="1" applyBorder="1" applyAlignment="1" applyProtection="1">
      <alignment horizontal="left" vertical="center"/>
      <protection locked="0"/>
    </xf>
    <xf numFmtId="49" fontId="18" fillId="0" borderId="15" xfId="11" applyNumberFormat="1" applyFont="1" applyBorder="1" applyAlignment="1">
      <alignment horizontal="left" vertical="center"/>
    </xf>
    <xf numFmtId="0" fontId="18" fillId="0" borderId="11" xfId="11" applyFont="1" applyBorder="1" applyAlignment="1" applyProtection="1">
      <alignment vertical="center"/>
      <protection locked="0"/>
    </xf>
    <xf numFmtId="41" fontId="18" fillId="9" borderId="16" xfId="11" applyNumberFormat="1" applyFont="1" applyFill="1" applyBorder="1" applyAlignment="1" applyProtection="1">
      <alignment vertical="center"/>
      <protection locked="0"/>
    </xf>
    <xf numFmtId="41" fontId="18" fillId="0" borderId="16" xfId="11" applyNumberFormat="1" applyFont="1" applyBorder="1" applyAlignment="1" applyProtection="1">
      <alignment vertical="center"/>
      <protection locked="0"/>
    </xf>
    <xf numFmtId="41" fontId="18" fillId="9" borderId="13" xfId="11" applyNumberFormat="1" applyFont="1" applyFill="1" applyBorder="1" applyAlignment="1" applyProtection="1">
      <alignment vertical="center"/>
      <protection locked="0"/>
    </xf>
    <xf numFmtId="41" fontId="18" fillId="10" borderId="13" xfId="11" applyNumberFormat="1" applyFont="1" applyFill="1" applyBorder="1" applyAlignment="1" applyProtection="1">
      <alignment vertical="center"/>
      <protection locked="0"/>
    </xf>
    <xf numFmtId="0" fontId="18" fillId="0" borderId="16" xfId="11" applyFont="1" applyBorder="1" applyAlignment="1">
      <alignment horizontal="left" vertical="center" wrapText="1"/>
    </xf>
    <xf numFmtId="0" fontId="18" fillId="0" borderId="0" xfId="11" applyFont="1" applyAlignment="1">
      <alignment vertical="center"/>
    </xf>
    <xf numFmtId="49" fontId="18" fillId="0" borderId="15" xfId="11" applyNumberFormat="1" applyFont="1" applyBorder="1" applyAlignment="1">
      <alignment horizontal="left"/>
    </xf>
    <xf numFmtId="41" fontId="18" fillId="0" borderId="16" xfId="11" applyNumberFormat="1" applyFont="1" applyBorder="1"/>
    <xf numFmtId="49" fontId="18" fillId="0" borderId="6" xfId="11" applyNumberFormat="1" applyFont="1" applyBorder="1" applyAlignment="1">
      <alignment horizontal="left"/>
    </xf>
    <xf numFmtId="49" fontId="15" fillId="0" borderId="44" xfId="11" applyNumberFormat="1" applyFont="1" applyBorder="1" applyAlignment="1" applyProtection="1">
      <alignment horizontal="left"/>
      <protection locked="0"/>
    </xf>
    <xf numFmtId="49" fontId="18" fillId="0" borderId="33" xfId="11" applyNumberFormat="1" applyFont="1" applyBorder="1" applyAlignment="1" applyProtection="1">
      <alignment horizontal="left"/>
      <protection locked="0"/>
    </xf>
    <xf numFmtId="0" fontId="18" fillId="0" borderId="34" xfId="11" applyFont="1" applyBorder="1" applyProtection="1">
      <protection locked="0"/>
    </xf>
    <xf numFmtId="41" fontId="18" fillId="9" borderId="34" xfId="11" applyNumberFormat="1" applyFont="1" applyFill="1" applyBorder="1" applyProtection="1">
      <protection locked="0"/>
    </xf>
    <xf numFmtId="41" fontId="18" fillId="0" borderId="21" xfId="11" applyNumberFormat="1" applyFont="1" applyBorder="1" applyProtection="1">
      <protection locked="0"/>
    </xf>
    <xf numFmtId="0" fontId="18" fillId="0" borderId="4" xfId="11" applyFont="1" applyBorder="1"/>
    <xf numFmtId="49" fontId="15" fillId="0" borderId="5" xfId="11" applyNumberFormat="1" applyFont="1" applyBorder="1" applyProtection="1">
      <protection locked="0"/>
    </xf>
    <xf numFmtId="49" fontId="15" fillId="0" borderId="6" xfId="11" applyNumberFormat="1" applyFont="1" applyBorder="1" applyProtection="1">
      <protection locked="0"/>
    </xf>
    <xf numFmtId="49" fontId="15" fillId="0" borderId="11" xfId="11" applyNumberFormat="1" applyFont="1" applyBorder="1" applyProtection="1">
      <protection locked="0"/>
    </xf>
    <xf numFmtId="49" fontId="15" fillId="0" borderId="14" xfId="11" applyNumberFormat="1" applyFont="1" applyBorder="1" applyProtection="1">
      <protection locked="0"/>
    </xf>
    <xf numFmtId="49" fontId="15" fillId="0" borderId="15" xfId="11" applyNumberFormat="1" applyFont="1" applyBorder="1" applyProtection="1">
      <protection locked="0"/>
    </xf>
    <xf numFmtId="49" fontId="15" fillId="0" borderId="13" xfId="11" applyNumberFormat="1" applyFont="1" applyBorder="1" applyProtection="1">
      <protection locked="0"/>
    </xf>
    <xf numFmtId="0" fontId="18" fillId="0" borderId="13" xfId="11" applyFont="1" applyBorder="1"/>
    <xf numFmtId="0" fontId="15" fillId="0" borderId="11" xfId="11" applyFont="1" applyBorder="1" applyProtection="1">
      <protection locked="0"/>
    </xf>
    <xf numFmtId="0" fontId="18" fillId="9" borderId="7" xfId="11" applyFont="1" applyFill="1" applyBorder="1" applyProtection="1">
      <protection locked="0"/>
    </xf>
    <xf numFmtId="0" fontId="18" fillId="9" borderId="11" xfId="11" applyFont="1" applyFill="1" applyBorder="1" applyProtection="1">
      <protection locked="0"/>
    </xf>
    <xf numFmtId="0" fontId="18" fillId="0" borderId="7" xfId="11" applyFont="1" applyBorder="1" applyProtection="1">
      <protection locked="0"/>
    </xf>
    <xf numFmtId="0" fontId="18" fillId="10" borderId="11" xfId="11" applyFont="1" applyFill="1" applyBorder="1" applyProtection="1">
      <protection locked="0"/>
    </xf>
    <xf numFmtId="0" fontId="18" fillId="0" borderId="7" xfId="11" applyFont="1" applyBorder="1"/>
    <xf numFmtId="49" fontId="18" fillId="0" borderId="14" xfId="11" applyNumberFormat="1" applyFont="1" applyBorder="1" applyProtection="1">
      <protection locked="0"/>
    </xf>
    <xf numFmtId="49" fontId="18" fillId="0" borderId="6" xfId="11" applyNumberFormat="1" applyFont="1" applyBorder="1" applyProtection="1">
      <protection locked="0"/>
    </xf>
    <xf numFmtId="41" fontId="18" fillId="9" borderId="11" xfId="11" applyNumberFormat="1" applyFont="1" applyFill="1" applyBorder="1" applyProtection="1">
      <protection locked="0"/>
    </xf>
    <xf numFmtId="41" fontId="18" fillId="0" borderId="7" xfId="11" applyNumberFormat="1" applyFont="1" applyBorder="1" applyProtection="1">
      <protection locked="0"/>
    </xf>
    <xf numFmtId="49" fontId="18" fillId="0" borderId="5" xfId="11" applyNumberFormat="1" applyFont="1" applyBorder="1" applyProtection="1">
      <protection locked="0"/>
    </xf>
    <xf numFmtId="49" fontId="15" fillId="0" borderId="17" xfId="11" applyNumberFormat="1" applyFont="1" applyBorder="1" applyProtection="1">
      <protection locked="0"/>
    </xf>
    <xf numFmtId="49" fontId="18" fillId="0" borderId="18" xfId="11" applyNumberFormat="1" applyFont="1" applyBorder="1" applyProtection="1">
      <protection locked="0"/>
    </xf>
    <xf numFmtId="41" fontId="18" fillId="9" borderId="25" xfId="11" applyNumberFormat="1" applyFont="1" applyFill="1" applyBorder="1" applyProtection="1">
      <protection locked="0"/>
    </xf>
    <xf numFmtId="41" fontId="18" fillId="9" borderId="24" xfId="11" applyNumberFormat="1" applyFont="1" applyFill="1" applyBorder="1" applyProtection="1">
      <protection locked="0"/>
    </xf>
    <xf numFmtId="41" fontId="18" fillId="0" borderId="25" xfId="11" applyNumberFormat="1" applyFont="1" applyBorder="1" applyProtection="1">
      <protection locked="0"/>
    </xf>
    <xf numFmtId="49" fontId="18" fillId="0" borderId="15" xfId="11" applyNumberFormat="1" applyFont="1" applyBorder="1"/>
    <xf numFmtId="41" fontId="18" fillId="9" borderId="7" xfId="11" applyNumberFormat="1" applyFont="1" applyFill="1" applyBorder="1" applyProtection="1">
      <protection locked="0"/>
    </xf>
    <xf numFmtId="0" fontId="18" fillId="0" borderId="15" xfId="11" applyFont="1" applyBorder="1"/>
    <xf numFmtId="49" fontId="15" fillId="0" borderId="26" xfId="11" applyNumberFormat="1" applyFont="1" applyBorder="1" applyProtection="1">
      <protection locked="0"/>
    </xf>
    <xf numFmtId="49" fontId="18" fillId="0" borderId="27" xfId="11" applyNumberFormat="1" applyFont="1" applyBorder="1" applyProtection="1">
      <protection locked="0"/>
    </xf>
    <xf numFmtId="0" fontId="18" fillId="0" borderId="28" xfId="11" applyFont="1" applyBorder="1" applyProtection="1">
      <protection locked="0"/>
    </xf>
    <xf numFmtId="41" fontId="18" fillId="9" borderId="28" xfId="11" applyNumberFormat="1" applyFont="1" applyFill="1" applyBorder="1" applyProtection="1">
      <protection locked="0"/>
    </xf>
    <xf numFmtId="41" fontId="18" fillId="0" borderId="29" xfId="11" applyNumberFormat="1" applyFont="1" applyBorder="1" applyProtection="1">
      <protection locked="0"/>
    </xf>
    <xf numFmtId="41" fontId="18" fillId="10" borderId="29" xfId="11" applyNumberFormat="1" applyFont="1" applyFill="1" applyBorder="1" applyProtection="1">
      <protection locked="0"/>
    </xf>
    <xf numFmtId="49" fontId="15" fillId="0" borderId="12" xfId="11" applyNumberFormat="1" applyFont="1" applyBorder="1" applyProtection="1">
      <protection locked="0"/>
    </xf>
    <xf numFmtId="0" fontId="18" fillId="0" borderId="30" xfId="11" applyFont="1" applyBorder="1"/>
    <xf numFmtId="49" fontId="15" fillId="0" borderId="31" xfId="11" applyNumberFormat="1" applyFont="1" applyBorder="1" applyProtection="1">
      <protection locked="0"/>
    </xf>
    <xf numFmtId="49" fontId="15" fillId="0" borderId="29" xfId="11" applyNumberFormat="1" applyFont="1" applyBorder="1" applyProtection="1">
      <protection locked="0"/>
    </xf>
    <xf numFmtId="49" fontId="18" fillId="0" borderId="29" xfId="11" applyNumberFormat="1" applyFont="1" applyBorder="1" applyProtection="1">
      <protection locked="0"/>
    </xf>
    <xf numFmtId="0" fontId="18" fillId="0" borderId="29" xfId="11" applyFont="1" applyBorder="1" applyProtection="1">
      <protection locked="0"/>
    </xf>
    <xf numFmtId="41" fontId="18" fillId="9" borderId="29" xfId="11" applyNumberFormat="1" applyFont="1" applyFill="1" applyBorder="1" applyProtection="1">
      <protection locked="0"/>
    </xf>
    <xf numFmtId="41" fontId="18" fillId="0" borderId="32" xfId="11" applyNumberFormat="1" applyFont="1" applyBorder="1" applyProtection="1">
      <protection locked="0"/>
    </xf>
    <xf numFmtId="49" fontId="18" fillId="0" borderId="33" xfId="11" applyNumberFormat="1" applyFont="1" applyBorder="1" applyProtection="1">
      <protection locked="0"/>
    </xf>
    <xf numFmtId="41" fontId="18" fillId="10" borderId="34" xfId="11" applyNumberFormat="1" applyFont="1" applyFill="1" applyBorder="1" applyProtection="1">
      <protection locked="0"/>
    </xf>
    <xf numFmtId="0" fontId="18" fillId="0" borderId="23" xfId="11" applyFont="1" applyBorder="1" applyProtection="1">
      <protection locked="0"/>
    </xf>
    <xf numFmtId="41" fontId="18" fillId="0" borderId="23" xfId="11" applyNumberFormat="1" applyFont="1" applyBorder="1" applyProtection="1">
      <protection locked="0"/>
    </xf>
    <xf numFmtId="0" fontId="18" fillId="0" borderId="24" xfId="11" applyFont="1" applyBorder="1" applyProtection="1">
      <protection locked="0"/>
    </xf>
    <xf numFmtId="49" fontId="18" fillId="0" borderId="15" xfId="11" applyNumberFormat="1" applyFont="1" applyBorder="1" applyProtection="1">
      <protection locked="0"/>
    </xf>
    <xf numFmtId="49" fontId="19" fillId="12" borderId="5" xfId="11" applyNumberFormat="1" applyFont="1" applyFill="1" applyBorder="1" applyProtection="1">
      <protection locked="0"/>
    </xf>
    <xf numFmtId="0" fontId="19" fillId="12" borderId="6" xfId="11" applyFont="1" applyFill="1" applyBorder="1" applyAlignment="1">
      <alignment horizontal="right"/>
    </xf>
    <xf numFmtId="0" fontId="19" fillId="12" borderId="11" xfId="11" applyFont="1" applyFill="1" applyBorder="1" applyProtection="1">
      <protection locked="0"/>
    </xf>
    <xf numFmtId="0" fontId="19" fillId="12" borderId="15" xfId="11" applyFont="1" applyFill="1" applyBorder="1" applyAlignment="1">
      <alignment horizontal="right"/>
    </xf>
    <xf numFmtId="49" fontId="19" fillId="12" borderId="26" xfId="11" applyNumberFormat="1" applyFont="1" applyFill="1" applyBorder="1" applyProtection="1">
      <protection locked="0"/>
    </xf>
    <xf numFmtId="0" fontId="19" fillId="12" borderId="27" xfId="11" applyFont="1" applyFill="1" applyBorder="1" applyAlignment="1">
      <alignment horizontal="right"/>
    </xf>
    <xf numFmtId="0" fontId="19" fillId="12" borderId="28" xfId="11" applyFont="1" applyFill="1" applyBorder="1" applyProtection="1">
      <protection locked="0"/>
    </xf>
    <xf numFmtId="41" fontId="18" fillId="10" borderId="28" xfId="11" applyNumberFormat="1" applyFont="1" applyFill="1" applyBorder="1" applyProtection="1">
      <protection locked="0"/>
    </xf>
    <xf numFmtId="49" fontId="19" fillId="0" borderId="0" xfId="11" applyNumberFormat="1" applyFont="1" applyProtection="1">
      <protection locked="0"/>
    </xf>
    <xf numFmtId="0" fontId="19" fillId="0" borderId="0" xfId="11" applyFont="1" applyAlignment="1">
      <alignment horizontal="right"/>
    </xf>
    <xf numFmtId="0" fontId="19" fillId="0" borderId="0" xfId="11" applyFont="1" applyProtection="1">
      <protection locked="0"/>
    </xf>
    <xf numFmtId="41" fontId="18" fillId="10" borderId="7" xfId="11" applyNumberFormat="1" applyFont="1" applyFill="1" applyBorder="1" applyProtection="1">
      <protection locked="0"/>
    </xf>
    <xf numFmtId="49" fontId="18" fillId="0" borderId="0" xfId="11" applyNumberFormat="1" applyFont="1" applyAlignment="1" applyProtection="1">
      <alignment horizontal="left"/>
      <protection locked="0"/>
    </xf>
    <xf numFmtId="0" fontId="18" fillId="0" borderId="0" xfId="11" applyFont="1" applyProtection="1">
      <protection locked="0"/>
    </xf>
    <xf numFmtId="0" fontId="18" fillId="0" borderId="6" xfId="11" applyFont="1" applyBorder="1" applyAlignment="1" applyProtection="1">
      <alignment horizontal="center"/>
      <protection locked="0"/>
    </xf>
    <xf numFmtId="0" fontId="22" fillId="0" borderId="0" xfId="11" applyFont="1" applyAlignment="1">
      <alignment horizontal="right"/>
    </xf>
    <xf numFmtId="0" fontId="18" fillId="0" borderId="15" xfId="11" applyFont="1" applyBorder="1" applyProtection="1">
      <protection locked="0"/>
    </xf>
    <xf numFmtId="0" fontId="22" fillId="0" borderId="0" xfId="11" applyFont="1" applyProtection="1">
      <protection locked="0"/>
    </xf>
    <xf numFmtId="0" fontId="18" fillId="0" borderId="0" xfId="11" applyFont="1" applyAlignment="1" applyProtection="1">
      <alignment horizontal="right"/>
      <protection locked="0"/>
    </xf>
    <xf numFmtId="0" fontId="22" fillId="0" borderId="6" xfId="11" applyFont="1" applyBorder="1" applyAlignment="1" applyProtection="1">
      <alignment horizontal="center"/>
      <protection locked="0"/>
    </xf>
    <xf numFmtId="0" fontId="22" fillId="0" borderId="0" xfId="11" applyFont="1" applyAlignment="1" applyProtection="1">
      <alignment horizontal="center"/>
      <protection locked="0"/>
    </xf>
    <xf numFmtId="42" fontId="4" fillId="0" borderId="0" xfId="0" applyNumberFormat="1" applyFont="1"/>
    <xf numFmtId="42" fontId="4" fillId="0" borderId="4" xfId="0" applyNumberFormat="1" applyFont="1" applyBorder="1"/>
    <xf numFmtId="42" fontId="4" fillId="0" borderId="7" xfId="0" applyNumberFormat="1" applyFont="1" applyBorder="1"/>
    <xf numFmtId="42" fontId="27" fillId="0" borderId="0" xfId="7" applyNumberFormat="1" applyFont="1"/>
    <xf numFmtId="49" fontId="2" fillId="0" borderId="14" xfId="0" applyNumberFormat="1" applyFont="1" applyBorder="1"/>
    <xf numFmtId="0" fontId="2" fillId="0" borderId="15" xfId="0" applyFont="1" applyBorder="1"/>
    <xf numFmtId="44" fontId="17" fillId="0" borderId="13" xfId="0" applyNumberFormat="1" applyFont="1" applyBorder="1"/>
    <xf numFmtId="0" fontId="2" fillId="0" borderId="14" xfId="0" applyFont="1" applyBorder="1" applyAlignment="1">
      <alignment horizontal="right"/>
    </xf>
    <xf numFmtId="0" fontId="16" fillId="0" borderId="0" xfId="0" applyFont="1" applyAlignment="1">
      <alignment horizontal="right"/>
    </xf>
    <xf numFmtId="41" fontId="4" fillId="0" borderId="14" xfId="7" applyNumberFormat="1" applyBorder="1"/>
    <xf numFmtId="43" fontId="0" fillId="0" borderId="13" xfId="0" applyNumberFormat="1" applyBorder="1"/>
    <xf numFmtId="10" fontId="0" fillId="0" borderId="0" xfId="12" applyNumberFormat="1" applyFont="1"/>
    <xf numFmtId="44" fontId="14" fillId="0" borderId="0" xfId="7" applyFont="1" applyAlignment="1">
      <alignment horizontal="right"/>
    </xf>
    <xf numFmtId="42" fontId="0" fillId="0" borderId="4" xfId="0" applyNumberFormat="1" applyBorder="1"/>
    <xf numFmtId="0" fontId="18" fillId="0" borderId="16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18" fillId="0" borderId="16" xfId="9" applyFont="1" applyBorder="1" applyAlignment="1" applyProtection="1">
      <alignment horizontal="left" wrapText="1"/>
    </xf>
    <xf numFmtId="41" fontId="18" fillId="0" borderId="16" xfId="0" applyNumberFormat="1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24" fillId="0" borderId="16" xfId="9" applyFont="1" applyBorder="1" applyAlignment="1" applyProtection="1">
      <alignment horizontal="left" wrapText="1"/>
    </xf>
    <xf numFmtId="0" fontId="10" fillId="0" borderId="0" xfId="4" applyFill="1" applyBorder="1"/>
    <xf numFmtId="0" fontId="15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8" fillId="0" borderId="38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6" fillId="0" borderId="16" xfId="9" applyFont="1" applyBorder="1" applyAlignment="1" applyProtection="1">
      <alignment horizontal="left" wrapText="1"/>
    </xf>
    <xf numFmtId="0" fontId="4" fillId="0" borderId="16" xfId="9" applyFont="1" applyBorder="1" applyAlignment="1" applyProtection="1">
      <alignment horizontal="left" wrapText="1"/>
    </xf>
    <xf numFmtId="0" fontId="18" fillId="0" borderId="29" xfId="0" applyFont="1" applyBorder="1" applyAlignment="1">
      <alignment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4" fillId="0" borderId="7" xfId="0" applyNumberFormat="1" applyFont="1" applyBorder="1"/>
    <xf numFmtId="44" fontId="4" fillId="0" borderId="0" xfId="0" applyNumberFormat="1" applyFont="1"/>
    <xf numFmtId="0" fontId="2" fillId="0" borderId="0" xfId="0" applyFont="1" applyAlignment="1">
      <alignment horizontal="center" vertical="top" wrapText="1"/>
    </xf>
    <xf numFmtId="44" fontId="2" fillId="0" borderId="0" xfId="7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2" fontId="0" fillId="0" borderId="0" xfId="0" applyNumberFormat="1" applyAlignment="1">
      <alignment horizontal="left"/>
    </xf>
    <xf numFmtId="44" fontId="2" fillId="0" borderId="4" xfId="0" applyNumberFormat="1" applyFont="1" applyBorder="1"/>
    <xf numFmtId="44" fontId="2" fillId="0" borderId="7" xfId="0" applyNumberFormat="1" applyFont="1" applyBorder="1"/>
    <xf numFmtId="42" fontId="4" fillId="0" borderId="6" xfId="7" applyNumberFormat="1" applyBorder="1"/>
    <xf numFmtId="44" fontId="2" fillId="0" borderId="0" xfId="7" applyFont="1" applyAlignment="1">
      <alignment horizontal="center"/>
    </xf>
    <xf numFmtId="44" fontId="0" fillId="0" borderId="0" xfId="0" applyNumberFormat="1" applyAlignment="1">
      <alignment horizontal="center" vertical="top" wrapText="1"/>
    </xf>
    <xf numFmtId="10" fontId="0" fillId="0" borderId="0" xfId="0" applyNumberFormat="1"/>
    <xf numFmtId="41" fontId="18" fillId="0" borderId="16" xfId="0" applyNumberFormat="1" applyFont="1" applyBorder="1" applyAlignment="1" applyProtection="1">
      <alignment horizontal="center"/>
      <protection locked="0"/>
    </xf>
    <xf numFmtId="44" fontId="14" fillId="0" borderId="0" xfId="7" applyFont="1" applyAlignment="1">
      <alignment horizontal="center"/>
    </xf>
    <xf numFmtId="41" fontId="18" fillId="16" borderId="16" xfId="0" applyNumberFormat="1" applyFont="1" applyFill="1" applyBorder="1" applyProtection="1">
      <protection locked="0"/>
    </xf>
    <xf numFmtId="44" fontId="0" fillId="0" borderId="0" xfId="0" applyNumberFormat="1" applyAlignment="1">
      <alignment horizontal="left"/>
    </xf>
    <xf numFmtId="41" fontId="18" fillId="8" borderId="7" xfId="0" applyNumberFormat="1" applyFont="1" applyFill="1" applyBorder="1" applyProtection="1">
      <protection locked="0"/>
    </xf>
    <xf numFmtId="41" fontId="18" fillId="8" borderId="0" xfId="0" applyNumberFormat="1" applyFont="1" applyFill="1" applyProtection="1">
      <protection locked="0"/>
    </xf>
    <xf numFmtId="41" fontId="22" fillId="0" borderId="0" xfId="0" applyNumberFormat="1" applyFont="1" applyAlignment="1" applyProtection="1">
      <alignment horizontal="center"/>
      <protection locked="0"/>
    </xf>
    <xf numFmtId="0" fontId="18" fillId="8" borderId="16" xfId="0" applyFont="1" applyFill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8" borderId="16" xfId="0" applyFont="1" applyFill="1" applyBorder="1" applyAlignment="1">
      <alignment vertical="center" wrapText="1"/>
    </xf>
    <xf numFmtId="0" fontId="18" fillId="0" borderId="5" xfId="0" applyFont="1" applyBorder="1" applyAlignment="1" applyProtection="1">
      <alignment horizontal="left" vertical="center"/>
      <protection locked="0"/>
    </xf>
    <xf numFmtId="41" fontId="18" fillId="0" borderId="14" xfId="0" applyNumberFormat="1" applyFont="1" applyBorder="1" applyAlignment="1" applyProtection="1">
      <alignment vertical="center"/>
      <protection locked="0"/>
    </xf>
    <xf numFmtId="42" fontId="33" fillId="0" borderId="0" xfId="7" applyNumberFormat="1" applyFont="1"/>
    <xf numFmtId="44" fontId="12" fillId="0" borderId="0" xfId="7" applyFont="1" applyAlignment="1">
      <alignment horizontal="left"/>
    </xf>
    <xf numFmtId="42" fontId="12" fillId="0" borderId="0" xfId="7" applyNumberFormat="1" applyFont="1"/>
    <xf numFmtId="44" fontId="27" fillId="0" borderId="0" xfId="0" applyNumberFormat="1" applyFont="1"/>
    <xf numFmtId="49" fontId="4" fillId="0" borderId="0" xfId="0" applyNumberFormat="1" applyFont="1"/>
    <xf numFmtId="41" fontId="18" fillId="0" borderId="13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44" fontId="2" fillId="0" borderId="0" xfId="7" applyFont="1" applyAlignment="1">
      <alignment wrapText="1"/>
    </xf>
    <xf numFmtId="44" fontId="2" fillId="0" borderId="0" xfId="7" applyFont="1" applyAlignment="1">
      <alignment horizontal="left" wrapText="1"/>
    </xf>
    <xf numFmtId="0" fontId="0" fillId="0" borderId="0" xfId="0" applyAlignment="1">
      <alignment wrapText="1"/>
    </xf>
    <xf numFmtId="44" fontId="2" fillId="0" borderId="0" xfId="7" applyFont="1" applyAlignment="1">
      <alignment horizontal="left"/>
    </xf>
    <xf numFmtId="167" fontId="4" fillId="0" borderId="0" xfId="11" applyNumberFormat="1"/>
    <xf numFmtId="0" fontId="18" fillId="0" borderId="16" xfId="11" applyFont="1" applyBorder="1" applyAlignment="1">
      <alignment vertical="center" wrapText="1"/>
    </xf>
    <xf numFmtId="167" fontId="18" fillId="10" borderId="11" xfId="10" applyNumberFormat="1" applyFont="1" applyFill="1" applyBorder="1" applyProtection="1">
      <protection locked="0"/>
    </xf>
    <xf numFmtId="0" fontId="18" fillId="0" borderId="0" xfId="11" applyFont="1" applyAlignment="1">
      <alignment horizontal="right"/>
    </xf>
    <xf numFmtId="167" fontId="34" fillId="0" borderId="0" xfId="10" applyNumberFormat="1" applyFont="1"/>
    <xf numFmtId="167" fontId="18" fillId="0" borderId="0" xfId="11" applyNumberFormat="1" applyFont="1"/>
    <xf numFmtId="0" fontId="15" fillId="0" borderId="26" xfId="11" quotePrefix="1" applyFont="1" applyBorder="1" applyAlignment="1">
      <alignment vertical="top" wrapText="1"/>
    </xf>
    <xf numFmtId="0" fontId="15" fillId="0" borderId="28" xfId="11" quotePrefix="1" applyFont="1" applyBorder="1" applyAlignment="1">
      <alignment horizontal="center" vertical="top" wrapText="1"/>
    </xf>
    <xf numFmtId="37" fontId="15" fillId="0" borderId="28" xfId="11" applyNumberFormat="1" applyFont="1" applyBorder="1" applyAlignment="1">
      <alignment horizontal="center" vertical="top" wrapText="1"/>
    </xf>
    <xf numFmtId="37" fontId="15" fillId="0" borderId="27" xfId="11" quotePrefix="1" applyNumberFormat="1" applyFont="1" applyBorder="1" applyAlignment="1">
      <alignment horizontal="center" vertical="top" wrapText="1"/>
    </xf>
    <xf numFmtId="37" fontId="15" fillId="0" borderId="29" xfId="11" applyNumberFormat="1" applyFont="1" applyBorder="1" applyAlignment="1">
      <alignment horizontal="center" vertical="top" wrapText="1"/>
    </xf>
    <xf numFmtId="0" fontId="15" fillId="0" borderId="29" xfId="11" applyFont="1" applyBorder="1"/>
    <xf numFmtId="0" fontId="15" fillId="0" borderId="0" xfId="11" applyFont="1"/>
    <xf numFmtId="0" fontId="15" fillId="0" borderId="35" xfId="11" applyFont="1" applyBorder="1" applyAlignment="1" applyProtection="1">
      <alignment horizontal="left"/>
      <protection locked="0"/>
    </xf>
    <xf numFmtId="0" fontId="18" fillId="0" borderId="31" xfId="11" applyFont="1" applyBorder="1" applyProtection="1">
      <protection locked="0"/>
    </xf>
    <xf numFmtId="41" fontId="18" fillId="0" borderId="9" xfId="11" applyNumberFormat="1" applyFont="1" applyBorder="1" applyProtection="1">
      <protection locked="0"/>
    </xf>
    <xf numFmtId="41" fontId="18" fillId="0" borderId="0" xfId="11" applyNumberFormat="1" applyFont="1" applyProtection="1">
      <protection locked="0"/>
    </xf>
    <xf numFmtId="41" fontId="18" fillId="0" borderId="10" xfId="11" applyNumberFormat="1" applyFont="1" applyBorder="1" applyProtection="1">
      <protection locked="0"/>
    </xf>
    <xf numFmtId="41" fontId="18" fillId="0" borderId="14" xfId="11" applyNumberFormat="1" applyFont="1" applyBorder="1" applyProtection="1">
      <protection locked="0"/>
    </xf>
    <xf numFmtId="0" fontId="23" fillId="11" borderId="5" xfId="11" applyFont="1" applyFill="1" applyBorder="1" applyAlignment="1" applyProtection="1">
      <alignment horizontal="right"/>
      <protection locked="0"/>
    </xf>
    <xf numFmtId="0" fontId="23" fillId="11" borderId="11" xfId="11" applyFont="1" applyFill="1" applyBorder="1" applyProtection="1">
      <protection locked="0"/>
    </xf>
    <xf numFmtId="49" fontId="15" fillId="0" borderId="5" xfId="11" applyNumberFormat="1" applyFont="1" applyBorder="1" applyAlignment="1" applyProtection="1">
      <alignment horizontal="left"/>
      <protection locked="0"/>
    </xf>
    <xf numFmtId="0" fontId="23" fillId="11" borderId="5" xfId="11" applyFont="1" applyFill="1" applyBorder="1" applyAlignment="1" applyProtection="1">
      <alignment horizontal="left"/>
      <protection locked="0"/>
    </xf>
    <xf numFmtId="0" fontId="15" fillId="0" borderId="5" xfId="11" applyFont="1" applyBorder="1" applyAlignment="1" applyProtection="1">
      <alignment horizontal="left"/>
      <protection locked="0"/>
    </xf>
    <xf numFmtId="0" fontId="15" fillId="0" borderId="16" xfId="11" applyFont="1" applyBorder="1"/>
    <xf numFmtId="0" fontId="18" fillId="0" borderId="5" xfId="11" applyFont="1" applyBorder="1" applyAlignment="1" applyProtection="1">
      <alignment horizontal="left" vertical="top"/>
      <protection locked="0"/>
    </xf>
    <xf numFmtId="0" fontId="18" fillId="0" borderId="11" xfId="11" applyFont="1" applyBorder="1" applyAlignment="1" applyProtection="1">
      <alignment horizontal="left" wrapText="1"/>
      <protection locked="0"/>
    </xf>
    <xf numFmtId="0" fontId="18" fillId="0" borderId="16" xfId="11" applyFont="1" applyBorder="1" applyAlignment="1">
      <alignment horizontal="center"/>
    </xf>
    <xf numFmtId="0" fontId="18" fillId="0" borderId="0" xfId="11" applyFont="1" applyAlignment="1">
      <alignment horizontal="center"/>
    </xf>
    <xf numFmtId="0" fontId="15" fillId="0" borderId="16" xfId="11" applyFont="1" applyBorder="1" applyAlignment="1">
      <alignment horizontal="center"/>
    </xf>
    <xf numFmtId="0" fontId="15" fillId="0" borderId="0" xfId="11" applyFont="1" applyAlignment="1">
      <alignment horizontal="center"/>
    </xf>
    <xf numFmtId="0" fontId="18" fillId="0" borderId="11" xfId="11" applyFont="1" applyBorder="1" applyAlignment="1" applyProtection="1">
      <alignment wrapText="1"/>
      <protection locked="0"/>
    </xf>
    <xf numFmtId="0" fontId="18" fillId="0" borderId="11" xfId="11" applyFont="1" applyBorder="1" applyAlignment="1" applyProtection="1">
      <alignment horizontal="left"/>
      <protection locked="0"/>
    </xf>
    <xf numFmtId="0" fontId="18" fillId="0" borderId="14" xfId="11" applyFont="1" applyBorder="1" applyProtection="1">
      <protection locked="0"/>
    </xf>
    <xf numFmtId="0" fontId="18" fillId="0" borderId="2" xfId="11" applyFont="1" applyBorder="1" applyProtection="1">
      <protection locked="0"/>
    </xf>
    <xf numFmtId="0" fontId="18" fillId="0" borderId="8" xfId="11" applyFont="1" applyBorder="1" applyProtection="1">
      <protection locked="0"/>
    </xf>
    <xf numFmtId="41" fontId="18" fillId="0" borderId="4" xfId="11" applyNumberFormat="1" applyFont="1" applyBorder="1" applyProtection="1">
      <protection locked="0"/>
    </xf>
    <xf numFmtId="41" fontId="18" fillId="0" borderId="2" xfId="11" applyNumberFormat="1" applyFont="1" applyBorder="1" applyProtection="1">
      <protection locked="0"/>
    </xf>
    <xf numFmtId="0" fontId="15" fillId="0" borderId="36" xfId="11" applyFont="1" applyBorder="1" applyProtection="1">
      <protection locked="0"/>
    </xf>
    <xf numFmtId="0" fontId="15" fillId="0" borderId="37" xfId="11" applyFont="1" applyBorder="1" applyProtection="1">
      <protection locked="0"/>
    </xf>
    <xf numFmtId="41" fontId="18" fillId="0" borderId="38" xfId="11" applyNumberFormat="1" applyFont="1" applyBorder="1" applyProtection="1">
      <protection locked="0"/>
    </xf>
    <xf numFmtId="41" fontId="18" fillId="0" borderId="36" xfId="11" applyNumberFormat="1" applyFont="1" applyBorder="1" applyProtection="1">
      <protection locked="0"/>
    </xf>
    <xf numFmtId="0" fontId="18" fillId="0" borderId="38" xfId="11" applyFont="1" applyBorder="1"/>
    <xf numFmtId="41" fontId="18" fillId="0" borderId="11" xfId="11" applyNumberFormat="1" applyFont="1" applyBorder="1" applyProtection="1">
      <protection locked="0"/>
    </xf>
    <xf numFmtId="41" fontId="18" fillId="0" borderId="6" xfId="11" applyNumberFormat="1" applyFont="1" applyBorder="1" applyProtection="1">
      <protection locked="0"/>
    </xf>
    <xf numFmtId="0" fontId="15" fillId="0" borderId="12" xfId="11" applyFont="1" applyBorder="1" applyAlignment="1" applyProtection="1">
      <alignment horizontal="left"/>
      <protection locked="0"/>
    </xf>
    <xf numFmtId="0" fontId="18" fillId="0" borderId="9" xfId="11" applyFont="1" applyBorder="1" applyProtection="1">
      <protection locked="0"/>
    </xf>
    <xf numFmtId="0" fontId="15" fillId="0" borderId="36" xfId="11" applyFont="1" applyBorder="1" applyAlignment="1" applyProtection="1">
      <alignment horizontal="left"/>
      <protection locked="0"/>
    </xf>
    <xf numFmtId="0" fontId="18" fillId="0" borderId="37" xfId="11" applyFont="1" applyBorder="1" applyProtection="1">
      <protection locked="0"/>
    </xf>
    <xf numFmtId="41" fontId="18" fillId="0" borderId="37" xfId="11" applyNumberFormat="1" applyFont="1" applyBorder="1" applyProtection="1">
      <protection locked="0"/>
    </xf>
    <xf numFmtId="41" fontId="18" fillId="0" borderId="39" xfId="11" applyNumberFormat="1" applyFont="1" applyBorder="1" applyProtection="1">
      <protection locked="0"/>
    </xf>
    <xf numFmtId="0" fontId="25" fillId="0" borderId="16" xfId="11" applyFont="1" applyBorder="1"/>
    <xf numFmtId="0" fontId="18" fillId="0" borderId="14" xfId="11" applyFont="1" applyBorder="1" applyAlignment="1" applyProtection="1">
      <alignment horizontal="left"/>
      <protection locked="0"/>
    </xf>
    <xf numFmtId="0" fontId="18" fillId="0" borderId="5" xfId="11" applyFont="1" applyBorder="1" applyAlignment="1" applyProtection="1">
      <alignment horizontal="right"/>
      <protection locked="0"/>
    </xf>
    <xf numFmtId="0" fontId="18" fillId="0" borderId="12" xfId="11" applyFont="1" applyBorder="1" applyAlignment="1" applyProtection="1">
      <alignment horizontal="left"/>
      <protection locked="0"/>
    </xf>
    <xf numFmtId="0" fontId="15" fillId="0" borderId="14" xfId="11" applyFont="1" applyBorder="1" applyAlignment="1" applyProtection="1">
      <alignment horizontal="left"/>
      <protection locked="0"/>
    </xf>
    <xf numFmtId="0" fontId="28" fillId="0" borderId="13" xfId="11" applyFont="1" applyBorder="1" applyProtection="1">
      <protection locked="0"/>
    </xf>
    <xf numFmtId="0" fontId="15" fillId="0" borderId="40" xfId="11" applyFont="1" applyBorder="1" applyAlignment="1" applyProtection="1">
      <alignment horizontal="left"/>
      <protection locked="0"/>
    </xf>
    <xf numFmtId="0" fontId="18" fillId="0" borderId="41" xfId="11" applyFont="1" applyBorder="1" applyProtection="1">
      <protection locked="0"/>
    </xf>
    <xf numFmtId="41" fontId="18" fillId="0" borderId="41" xfId="11" applyNumberFormat="1" applyFont="1" applyBorder="1" applyProtection="1">
      <protection locked="0"/>
    </xf>
    <xf numFmtId="41" fontId="18" fillId="0" borderId="42" xfId="11" applyNumberFormat="1" applyFont="1" applyBorder="1" applyProtection="1">
      <protection locked="0"/>
    </xf>
    <xf numFmtId="41" fontId="18" fillId="0" borderId="43" xfId="11" applyNumberFormat="1" applyFont="1" applyBorder="1" applyProtection="1">
      <protection locked="0"/>
    </xf>
    <xf numFmtId="0" fontId="18" fillId="0" borderId="29" xfId="11" applyFont="1" applyBorder="1"/>
    <xf numFmtId="0" fontId="18" fillId="0" borderId="35" xfId="11" applyFont="1" applyBorder="1" applyAlignment="1" applyProtection="1">
      <alignment horizontal="left"/>
      <protection locked="0"/>
    </xf>
    <xf numFmtId="0" fontId="15" fillId="0" borderId="31" xfId="11" applyFont="1" applyBorder="1" applyProtection="1">
      <protection locked="0"/>
    </xf>
    <xf numFmtId="41" fontId="18" fillId="0" borderId="31" xfId="11" applyNumberFormat="1" applyFont="1" applyBorder="1" applyProtection="1">
      <protection locked="0"/>
    </xf>
    <xf numFmtId="41" fontId="18" fillId="0" borderId="30" xfId="11" applyNumberFormat="1" applyFont="1" applyBorder="1" applyProtection="1">
      <protection locked="0"/>
    </xf>
    <xf numFmtId="0" fontId="15" fillId="0" borderId="18" xfId="11" applyFont="1" applyBorder="1" applyAlignment="1" applyProtection="1">
      <alignment horizontal="left"/>
      <protection locked="0"/>
    </xf>
    <xf numFmtId="41" fontId="18" fillId="0" borderId="19" xfId="11" applyNumberFormat="1" applyFont="1" applyBorder="1" applyProtection="1">
      <protection locked="0"/>
    </xf>
    <xf numFmtId="0" fontId="18" fillId="0" borderId="0" xfId="11" applyFont="1" applyAlignment="1" applyProtection="1">
      <alignment horizontal="left"/>
      <protection locked="0"/>
    </xf>
    <xf numFmtId="37" fontId="18" fillId="0" borderId="0" xfId="11" applyNumberFormat="1" applyFont="1" applyProtection="1">
      <protection locked="0"/>
    </xf>
    <xf numFmtId="0" fontId="18" fillId="0" borderId="6" xfId="11" applyFont="1" applyBorder="1" applyAlignment="1" applyProtection="1">
      <alignment horizontal="left"/>
      <protection locked="0"/>
    </xf>
    <xf numFmtId="0" fontId="18" fillId="0" borderId="0" xfId="11" applyFont="1" applyProtection="1">
      <protection hidden="1"/>
    </xf>
    <xf numFmtId="0" fontId="18" fillId="0" borderId="15" xfId="11" applyFont="1" applyBorder="1" applyAlignment="1" applyProtection="1">
      <alignment horizontal="left"/>
      <protection locked="0"/>
    </xf>
    <xf numFmtId="37" fontId="18" fillId="0" borderId="0" xfId="11" applyNumberFormat="1" applyFont="1"/>
    <xf numFmtId="0" fontId="18" fillId="0" borderId="0" xfId="11" applyFont="1" applyAlignment="1">
      <alignment horizontal="left"/>
    </xf>
    <xf numFmtId="37" fontId="18" fillId="0" borderId="0" xfId="11" applyNumberFormat="1" applyFont="1" applyAlignment="1">
      <alignment horizontal="right"/>
    </xf>
    <xf numFmtId="167" fontId="18" fillId="0" borderId="0" xfId="10" applyNumberFormat="1" applyFont="1" applyAlignment="1">
      <alignment horizontal="center" vertical="center" wrapText="1"/>
    </xf>
    <xf numFmtId="167" fontId="18" fillId="0" borderId="0" xfId="10" applyNumberFormat="1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7" fontId="18" fillId="0" borderId="0" xfId="10" applyNumberFormat="1" applyFont="1" applyAlignment="1">
      <alignment wrapText="1"/>
    </xf>
    <xf numFmtId="0" fontId="15" fillId="0" borderId="0" xfId="0" applyFont="1" applyAlignment="1">
      <alignment horizontal="center" wrapText="1"/>
    </xf>
    <xf numFmtId="41" fontId="18" fillId="0" borderId="0" xfId="0" applyNumberFormat="1" applyFont="1"/>
    <xf numFmtId="167" fontId="18" fillId="0" borderId="18" xfId="10" applyNumberFormat="1" applyFont="1" applyBorder="1"/>
    <xf numFmtId="167" fontId="18" fillId="0" borderId="0" xfId="0" applyNumberFormat="1" applyFont="1"/>
    <xf numFmtId="41" fontId="18" fillId="8" borderId="16" xfId="0" applyNumberFormat="1" applyFont="1" applyFill="1" applyBorder="1" applyProtection="1">
      <protection locked="0"/>
    </xf>
    <xf numFmtId="40" fontId="35" fillId="0" borderId="0" xfId="13" applyNumberFormat="1" applyFont="1"/>
    <xf numFmtId="167" fontId="36" fillId="0" borderId="0" xfId="5" applyNumberFormat="1" applyFont="1" applyFill="1"/>
    <xf numFmtId="167" fontId="36" fillId="0" borderId="0" xfId="6" applyNumberFormat="1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167" fontId="36" fillId="0" borderId="0" xfId="6" applyNumberFormat="1" applyFont="1" applyFill="1"/>
    <xf numFmtId="49" fontId="15" fillId="0" borderId="12" xfId="0" applyNumberFormat="1" applyFont="1" applyBorder="1" applyAlignment="1" applyProtection="1">
      <alignment horizontal="left"/>
      <protection locked="0"/>
    </xf>
    <xf numFmtId="41" fontId="18" fillId="9" borderId="9" xfId="0" applyNumberFormat="1" applyFont="1" applyFill="1" applyBorder="1" applyProtection="1">
      <protection locked="0"/>
    </xf>
    <xf numFmtId="41" fontId="18" fillId="10" borderId="9" xfId="0" applyNumberFormat="1" applyFont="1" applyFill="1" applyBorder="1" applyProtection="1">
      <protection locked="0"/>
    </xf>
    <xf numFmtId="0" fontId="18" fillId="0" borderId="10" xfId="0" applyFont="1" applyBorder="1"/>
    <xf numFmtId="43" fontId="18" fillId="0" borderId="0" xfId="10" applyFont="1"/>
    <xf numFmtId="49" fontId="15" fillId="0" borderId="44" xfId="0" applyNumberFormat="1" applyFont="1" applyBorder="1" applyProtection="1">
      <protection locked="0"/>
    </xf>
    <xf numFmtId="49" fontId="15" fillId="0" borderId="22" xfId="0" applyNumberFormat="1" applyFont="1" applyBorder="1" applyProtection="1">
      <protection locked="0"/>
    </xf>
    <xf numFmtId="49" fontId="18" fillId="0" borderId="23" xfId="0" applyNumberFormat="1" applyFont="1" applyBorder="1" applyProtection="1">
      <protection locked="0"/>
    </xf>
    <xf numFmtId="0" fontId="18" fillId="0" borderId="24" xfId="0" applyFont="1" applyBorder="1" applyProtection="1">
      <protection locked="0"/>
    </xf>
    <xf numFmtId="41" fontId="18" fillId="10" borderId="24" xfId="0" applyNumberFormat="1" applyFont="1" applyFill="1" applyBorder="1" applyProtection="1">
      <protection locked="0"/>
    </xf>
    <xf numFmtId="49" fontId="18" fillId="0" borderId="15" xfId="0" applyNumberFormat="1" applyFont="1" applyBorder="1" applyProtection="1">
      <protection locked="0"/>
    </xf>
    <xf numFmtId="41" fontId="18" fillId="17" borderId="4" xfId="0" applyNumberFormat="1" applyFont="1" applyFill="1" applyBorder="1" applyProtection="1">
      <protection locked="0"/>
    </xf>
    <xf numFmtId="0" fontId="8" fillId="3" borderId="4" xfId="2" applyBorder="1"/>
    <xf numFmtId="41" fontId="7" fillId="2" borderId="6" xfId="1" applyNumberFormat="1" applyBorder="1" applyProtection="1">
      <protection locked="0"/>
    </xf>
    <xf numFmtId="41" fontId="9" fillId="4" borderId="7" xfId="3" applyNumberFormat="1" applyBorder="1" applyProtection="1">
      <protection locked="0"/>
    </xf>
    <xf numFmtId="41" fontId="7" fillId="2" borderId="14" xfId="1" applyNumberFormat="1" applyBorder="1" applyProtection="1">
      <protection locked="0"/>
    </xf>
    <xf numFmtId="41" fontId="9" fillId="4" borderId="16" xfId="3" applyNumberFormat="1" applyBorder="1" applyProtection="1">
      <protection locked="0"/>
    </xf>
    <xf numFmtId="41" fontId="7" fillId="0" borderId="14" xfId="1" applyNumberFormat="1" applyFill="1" applyBorder="1" applyProtection="1">
      <protection locked="0"/>
    </xf>
    <xf numFmtId="0" fontId="12" fillId="0" borderId="0" xfId="8" applyFont="1"/>
    <xf numFmtId="0" fontId="2" fillId="0" borderId="0" xfId="8" applyFont="1"/>
    <xf numFmtId="0" fontId="4" fillId="0" borderId="0" xfId="8"/>
    <xf numFmtId="0" fontId="6" fillId="0" borderId="0" xfId="8" applyFont="1"/>
    <xf numFmtId="0" fontId="13" fillId="0" borderId="0" xfId="8" applyFont="1"/>
    <xf numFmtId="0" fontId="14" fillId="0" borderId="0" xfId="8" applyFont="1" applyAlignment="1">
      <alignment horizontal="right"/>
    </xf>
    <xf numFmtId="44" fontId="14" fillId="0" borderId="0" xfId="7" applyFont="1" applyAlignment="1">
      <alignment horizontal="left"/>
    </xf>
    <xf numFmtId="0" fontId="14" fillId="0" borderId="0" xfId="8" applyFont="1"/>
    <xf numFmtId="0" fontId="2" fillId="0" borderId="0" xfId="8" applyFont="1" applyAlignment="1">
      <alignment horizontal="center" vertical="center" wrapText="1"/>
    </xf>
    <xf numFmtId="0" fontId="4" fillId="0" borderId="0" xfId="8" applyAlignment="1">
      <alignment horizontal="center" vertical="center" wrapText="1"/>
    </xf>
    <xf numFmtId="49" fontId="4" fillId="0" borderId="0" xfId="8" applyNumberFormat="1"/>
    <xf numFmtId="44" fontId="4" fillId="0" borderId="0" xfId="8" applyNumberFormat="1"/>
    <xf numFmtId="0" fontId="2" fillId="0" borderId="0" xfId="8" applyFont="1" applyAlignment="1">
      <alignment horizontal="right"/>
    </xf>
    <xf numFmtId="44" fontId="2" fillId="0" borderId="0" xfId="8" applyNumberFormat="1" applyFont="1"/>
    <xf numFmtId="0" fontId="2" fillId="0" borderId="2" xfId="8" applyFont="1" applyBorder="1"/>
    <xf numFmtId="49" fontId="2" fillId="0" borderId="3" xfId="8" applyNumberFormat="1" applyFont="1" applyBorder="1" applyAlignment="1">
      <alignment horizontal="right"/>
    </xf>
    <xf numFmtId="44" fontId="4" fillId="0" borderId="4" xfId="8" applyNumberFormat="1" applyBorder="1"/>
    <xf numFmtId="0" fontId="2" fillId="0" borderId="5" xfId="8" applyFont="1" applyBorder="1" applyAlignment="1">
      <alignment horizontal="right"/>
    </xf>
    <xf numFmtId="0" fontId="2" fillId="0" borderId="6" xfId="8" applyFont="1" applyBorder="1" applyAlignment="1">
      <alignment horizontal="right"/>
    </xf>
    <xf numFmtId="44" fontId="4" fillId="0" borderId="7" xfId="8" applyNumberFormat="1" applyBorder="1"/>
    <xf numFmtId="0" fontId="2" fillId="0" borderId="5" xfId="8" applyFont="1" applyBorder="1"/>
    <xf numFmtId="0" fontId="2" fillId="0" borderId="0" xfId="8" applyFont="1" applyAlignment="1">
      <alignment horizontal="left"/>
    </xf>
    <xf numFmtId="0" fontId="14" fillId="0" borderId="0" xfId="8" applyFont="1" applyAlignment="1">
      <alignment horizontal="left"/>
    </xf>
    <xf numFmtId="0" fontId="4" fillId="0" borderId="0" xfId="8" applyAlignment="1">
      <alignment horizontal="left"/>
    </xf>
    <xf numFmtId="0" fontId="4" fillId="0" borderId="0" xfId="8" applyAlignment="1">
      <alignment horizontal="left" vertical="center" wrapText="1"/>
    </xf>
    <xf numFmtId="44" fontId="4" fillId="0" borderId="0" xfId="8" applyNumberFormat="1" applyAlignment="1">
      <alignment horizontal="center" vertical="center" wrapText="1"/>
    </xf>
    <xf numFmtId="0" fontId="16" fillId="0" borderId="0" xfId="8" applyFont="1" applyAlignment="1">
      <alignment horizontal="center" vertical="center" wrapText="1"/>
    </xf>
    <xf numFmtId="0" fontId="16" fillId="0" borderId="0" xfId="8" applyFont="1" applyAlignment="1">
      <alignment horizontal="left" vertical="center" wrapText="1"/>
    </xf>
    <xf numFmtId="44" fontId="16" fillId="0" borderId="0" xfId="8" applyNumberFormat="1" applyFont="1" applyAlignment="1">
      <alignment horizontal="center" vertical="center" wrapText="1"/>
    </xf>
    <xf numFmtId="0" fontId="16" fillId="0" borderId="0" xfId="8" applyFont="1"/>
    <xf numFmtId="0" fontId="16" fillId="0" borderId="0" xfId="8" applyFont="1" applyAlignment="1">
      <alignment horizontal="left"/>
    </xf>
    <xf numFmtId="49" fontId="2" fillId="0" borderId="0" xfId="8" applyNumberFormat="1" applyFont="1"/>
    <xf numFmtId="0" fontId="17" fillId="0" borderId="0" xfId="8" applyFont="1"/>
    <xf numFmtId="9" fontId="2" fillId="0" borderId="0" xfId="12" applyFont="1"/>
    <xf numFmtId="49" fontId="15" fillId="0" borderId="3" xfId="8" applyNumberFormat="1" applyFont="1" applyBorder="1" applyAlignment="1">
      <alignment horizontal="left"/>
    </xf>
    <xf numFmtId="49" fontId="18" fillId="0" borderId="3" xfId="8" applyNumberFormat="1" applyFont="1" applyBorder="1" applyAlignment="1">
      <alignment horizontal="left"/>
    </xf>
    <xf numFmtId="0" fontId="18" fillId="0" borderId="8" xfId="8" applyFont="1" applyBorder="1"/>
    <xf numFmtId="164" fontId="15" fillId="0" borderId="4" xfId="8" applyNumberFormat="1" applyFont="1" applyBorder="1" applyAlignment="1">
      <alignment horizontal="center"/>
    </xf>
    <xf numFmtId="164" fontId="15" fillId="0" borderId="8" xfId="8" applyNumberFormat="1" applyFont="1" applyBorder="1" applyAlignment="1">
      <alignment horizontal="center"/>
    </xf>
    <xf numFmtId="164" fontId="15" fillId="0" borderId="2" xfId="8" applyNumberFormat="1" applyFont="1" applyBorder="1" applyAlignment="1">
      <alignment horizontal="center"/>
    </xf>
    <xf numFmtId="0" fontId="18" fillId="0" borderId="0" xfId="8" applyFont="1"/>
    <xf numFmtId="49" fontId="15" fillId="0" borderId="0" xfId="8" applyNumberFormat="1" applyFont="1" applyAlignment="1">
      <alignment horizontal="left"/>
    </xf>
    <xf numFmtId="49" fontId="18" fillId="0" borderId="0" xfId="8" applyNumberFormat="1" applyFont="1" applyAlignment="1">
      <alignment horizontal="left"/>
    </xf>
    <xf numFmtId="0" fontId="18" fillId="0" borderId="9" xfId="8" applyFont="1" applyBorder="1"/>
    <xf numFmtId="0" fontId="15" fillId="0" borderId="9" xfId="8" applyFont="1" applyBorder="1"/>
    <xf numFmtId="0" fontId="15" fillId="0" borderId="10" xfId="8" applyFont="1" applyBorder="1" applyAlignment="1">
      <alignment horizontal="center"/>
    </xf>
    <xf numFmtId="0" fontId="15" fillId="0" borderId="5" xfId="8" applyFont="1" applyBorder="1" applyAlignment="1" applyProtection="1">
      <alignment horizontal="left"/>
      <protection hidden="1"/>
    </xf>
    <xf numFmtId="0" fontId="15" fillId="0" borderId="11" xfId="8" applyFont="1" applyBorder="1" applyProtection="1">
      <protection hidden="1"/>
    </xf>
    <xf numFmtId="0" fontId="15" fillId="0" borderId="10" xfId="8" applyFont="1" applyBorder="1" applyAlignment="1" applyProtection="1">
      <alignment horizontal="center"/>
      <protection hidden="1"/>
    </xf>
    <xf numFmtId="49" fontId="18" fillId="0" borderId="12" xfId="8" applyNumberFormat="1" applyFont="1" applyBorder="1" applyAlignment="1">
      <alignment horizontal="left" vertical="center" wrapText="1"/>
    </xf>
    <xf numFmtId="0" fontId="13" fillId="0" borderId="0" xfId="8" applyFont="1" applyAlignment="1">
      <alignment horizontal="center" vertical="center" wrapText="1"/>
    </xf>
    <xf numFmtId="0" fontId="13" fillId="0" borderId="9" xfId="8" applyFont="1" applyBorder="1" applyAlignment="1">
      <alignment horizontal="center" vertical="center" wrapText="1"/>
    </xf>
    <xf numFmtId="0" fontId="15" fillId="0" borderId="9" xfId="8" applyFont="1" applyBorder="1" applyAlignment="1">
      <alignment horizontal="center" vertical="center" wrapText="1"/>
    </xf>
    <xf numFmtId="0" fontId="15" fillId="0" borderId="4" xfId="8" applyFont="1" applyBorder="1" applyAlignment="1">
      <alignment horizontal="center" vertical="center" wrapText="1"/>
    </xf>
    <xf numFmtId="0" fontId="15" fillId="0" borderId="9" xfId="8" applyFont="1" applyBorder="1" applyAlignment="1">
      <alignment vertical="center" wrapText="1"/>
    </xf>
    <xf numFmtId="0" fontId="15" fillId="0" borderId="10" xfId="8" applyFont="1" applyBorder="1" applyAlignment="1">
      <alignment horizontal="center" vertical="center" wrapText="1"/>
    </xf>
    <xf numFmtId="0" fontId="18" fillId="0" borderId="0" xfId="8" applyFont="1" applyAlignment="1">
      <alignment vertical="center" wrapText="1"/>
    </xf>
    <xf numFmtId="0" fontId="18" fillId="0" borderId="0" xfId="8" applyFont="1" applyAlignment="1">
      <alignment wrapText="1"/>
    </xf>
    <xf numFmtId="49" fontId="18" fillId="0" borderId="5" xfId="8" applyNumberFormat="1" applyFont="1" applyBorder="1" applyAlignment="1">
      <alignment horizontal="left" wrapText="1"/>
    </xf>
    <xf numFmtId="0" fontId="13" fillId="0" borderId="6" xfId="8" applyFont="1" applyBorder="1" applyAlignment="1">
      <alignment horizontal="center" vertical="center" wrapText="1"/>
    </xf>
    <xf numFmtId="0" fontId="13" fillId="0" borderId="11" xfId="8" applyFont="1" applyBorder="1" applyAlignment="1">
      <alignment horizontal="center" vertical="center" wrapText="1"/>
    </xf>
    <xf numFmtId="165" fontId="15" fillId="0" borderId="11" xfId="8" applyNumberFormat="1" applyFont="1" applyBorder="1" applyAlignment="1" applyProtection="1">
      <alignment horizontal="center" wrapText="1"/>
      <protection hidden="1"/>
    </xf>
    <xf numFmtId="0" fontId="15" fillId="0" borderId="7" xfId="8" applyFont="1" applyBorder="1" applyAlignment="1">
      <alignment horizontal="center" wrapText="1"/>
    </xf>
    <xf numFmtId="0" fontId="15" fillId="0" borderId="11" xfId="8" applyFont="1" applyBorder="1" applyAlignment="1">
      <alignment horizontal="center" wrapText="1"/>
    </xf>
    <xf numFmtId="0" fontId="15" fillId="0" borderId="13" xfId="8" applyFont="1" applyBorder="1" applyAlignment="1">
      <alignment wrapText="1"/>
    </xf>
    <xf numFmtId="49" fontId="15" fillId="0" borderId="14" xfId="8" applyNumberFormat="1" applyFont="1" applyBorder="1" applyAlignment="1" applyProtection="1">
      <alignment horizontal="left"/>
      <protection locked="0"/>
    </xf>
    <xf numFmtId="49" fontId="15" fillId="0" borderId="15" xfId="8" applyNumberFormat="1" applyFont="1" applyBorder="1" applyAlignment="1" applyProtection="1">
      <alignment horizontal="left"/>
      <protection locked="0"/>
    </xf>
    <xf numFmtId="0" fontId="15" fillId="0" borderId="13" xfId="8" applyFont="1" applyBorder="1" applyProtection="1">
      <protection locked="0"/>
    </xf>
    <xf numFmtId="0" fontId="18" fillId="0" borderId="16" xfId="8" applyFont="1" applyBorder="1"/>
    <xf numFmtId="49" fontId="18" fillId="0" borderId="14" xfId="8" applyNumberFormat="1" applyFont="1" applyBorder="1" applyAlignment="1" applyProtection="1">
      <alignment horizontal="left"/>
      <protection locked="0"/>
    </xf>
    <xf numFmtId="49" fontId="18" fillId="0" borderId="6" xfId="8" applyNumberFormat="1" applyFont="1" applyBorder="1" applyAlignment="1" applyProtection="1">
      <alignment horizontal="left"/>
      <protection locked="0"/>
    </xf>
    <xf numFmtId="0" fontId="18" fillId="0" borderId="11" xfId="8" applyFont="1" applyBorder="1" applyProtection="1">
      <protection locked="0"/>
    </xf>
    <xf numFmtId="49" fontId="18" fillId="0" borderId="5" xfId="8" applyNumberFormat="1" applyFont="1" applyBorder="1" applyAlignment="1" applyProtection="1">
      <alignment horizontal="left"/>
      <protection locked="0"/>
    </xf>
    <xf numFmtId="0" fontId="18" fillId="0" borderId="14" xfId="8" applyFont="1" applyBorder="1"/>
    <xf numFmtId="49" fontId="18" fillId="0" borderId="15" xfId="8" applyNumberFormat="1" applyFont="1" applyBorder="1" applyAlignment="1" applyProtection="1">
      <alignment horizontal="left"/>
      <protection locked="0"/>
    </xf>
    <xf numFmtId="0" fontId="18" fillId="0" borderId="5" xfId="8" applyFont="1" applyBorder="1"/>
    <xf numFmtId="0" fontId="18" fillId="0" borderId="13" xfId="8" applyFont="1" applyBorder="1" applyProtection="1">
      <protection locked="0"/>
    </xf>
    <xf numFmtId="49" fontId="15" fillId="0" borderId="17" xfId="8" applyNumberFormat="1" applyFont="1" applyBorder="1" applyAlignment="1" applyProtection="1">
      <alignment horizontal="left"/>
      <protection locked="0"/>
    </xf>
    <xf numFmtId="49" fontId="18" fillId="0" borderId="18" xfId="8" applyNumberFormat="1" applyFont="1" applyBorder="1" applyAlignment="1" applyProtection="1">
      <alignment horizontal="left"/>
      <protection locked="0"/>
    </xf>
    <xf numFmtId="0" fontId="18" fillId="0" borderId="19" xfId="8" applyFont="1" applyBorder="1" applyProtection="1">
      <protection locked="0"/>
    </xf>
    <xf numFmtId="41" fontId="18" fillId="9" borderId="19" xfId="8" applyNumberFormat="1" applyFont="1" applyFill="1" applyBorder="1" applyProtection="1">
      <protection locked="0"/>
    </xf>
    <xf numFmtId="41" fontId="18" fillId="0" borderId="20" xfId="8" applyNumberFormat="1" applyFont="1" applyBorder="1" applyProtection="1">
      <protection locked="0"/>
    </xf>
    <xf numFmtId="41" fontId="18" fillId="10" borderId="21" xfId="8" applyNumberFormat="1" applyFont="1" applyFill="1" applyBorder="1" applyProtection="1">
      <protection locked="0"/>
    </xf>
    <xf numFmtId="0" fontId="18" fillId="0" borderId="21" xfId="8" applyFont="1" applyBorder="1"/>
    <xf numFmtId="49" fontId="15" fillId="0" borderId="22" xfId="8" applyNumberFormat="1" applyFont="1" applyBorder="1" applyAlignment="1" applyProtection="1">
      <alignment horizontal="left"/>
      <protection locked="0"/>
    </xf>
    <xf numFmtId="49" fontId="18" fillId="0" borderId="23" xfId="8" applyNumberFormat="1" applyFont="1" applyBorder="1" applyAlignment="1" applyProtection="1">
      <alignment horizontal="left"/>
      <protection locked="0"/>
    </xf>
    <xf numFmtId="0" fontId="15" fillId="0" borderId="24" xfId="8" applyFont="1" applyBorder="1" applyProtection="1">
      <protection locked="0"/>
    </xf>
    <xf numFmtId="0" fontId="18" fillId="0" borderId="7" xfId="8" applyFont="1" applyBorder="1"/>
    <xf numFmtId="0" fontId="18" fillId="0" borderId="5" xfId="8" applyFont="1" applyBorder="1" applyAlignment="1" applyProtection="1">
      <alignment horizontal="left"/>
      <protection locked="0"/>
    </xf>
    <xf numFmtId="41" fontId="19" fillId="11" borderId="15" xfId="8" applyNumberFormat="1" applyFont="1" applyFill="1" applyBorder="1" applyAlignment="1" applyProtection="1">
      <alignment horizontal="right"/>
      <protection locked="0"/>
    </xf>
    <xf numFmtId="41" fontId="19" fillId="11" borderId="13" xfId="8" applyNumberFormat="1" applyFont="1" applyFill="1" applyBorder="1" applyProtection="1">
      <protection locked="0"/>
    </xf>
    <xf numFmtId="49" fontId="19" fillId="11" borderId="6" xfId="8" applyNumberFormat="1" applyFont="1" applyFill="1" applyBorder="1" applyAlignment="1" applyProtection="1">
      <alignment horizontal="right"/>
      <protection locked="0"/>
    </xf>
    <xf numFmtId="0" fontId="19" fillId="11" borderId="11" xfId="8" applyFont="1" applyFill="1" applyBorder="1" applyProtection="1">
      <protection locked="0"/>
    </xf>
    <xf numFmtId="49" fontId="18" fillId="0" borderId="5" xfId="8" applyNumberFormat="1" applyFont="1" applyBorder="1" applyAlignment="1" applyProtection="1">
      <alignment horizontal="left" vertical="center"/>
      <protection locked="0"/>
    </xf>
    <xf numFmtId="49" fontId="18" fillId="0" borderId="15" xfId="8" applyNumberFormat="1" applyFont="1" applyBorder="1" applyAlignment="1">
      <alignment horizontal="left" vertical="center"/>
    </xf>
    <xf numFmtId="0" fontId="18" fillId="0" borderId="11" xfId="8" applyFont="1" applyBorder="1" applyAlignment="1" applyProtection="1">
      <alignment vertical="center"/>
      <protection locked="0"/>
    </xf>
    <xf numFmtId="41" fontId="18" fillId="9" borderId="16" xfId="8" applyNumberFormat="1" applyFont="1" applyFill="1" applyBorder="1" applyAlignment="1" applyProtection="1">
      <alignment vertical="center"/>
      <protection locked="0"/>
    </xf>
    <xf numFmtId="41" fontId="18" fillId="10" borderId="13" xfId="8" applyNumberFormat="1" applyFont="1" applyFill="1" applyBorder="1" applyAlignment="1" applyProtection="1">
      <alignment vertical="center"/>
      <protection locked="0"/>
    </xf>
    <xf numFmtId="0" fontId="18" fillId="0" borderId="16" xfId="8" applyFont="1" applyBorder="1" applyAlignment="1">
      <alignment vertical="center" wrapText="1"/>
    </xf>
    <xf numFmtId="0" fontId="18" fillId="0" borderId="0" xfId="8" applyFont="1" applyAlignment="1">
      <alignment vertical="center"/>
    </xf>
    <xf numFmtId="49" fontId="18" fillId="0" borderId="15" xfId="8" applyNumberFormat="1" applyFont="1" applyBorder="1" applyAlignment="1">
      <alignment horizontal="left"/>
    </xf>
    <xf numFmtId="41" fontId="18" fillId="0" borderId="16" xfId="8" applyNumberFormat="1" applyFont="1" applyBorder="1"/>
    <xf numFmtId="49" fontId="18" fillId="0" borderId="6" xfId="8" applyNumberFormat="1" applyFont="1" applyBorder="1" applyAlignment="1">
      <alignment horizontal="left"/>
    </xf>
    <xf numFmtId="49" fontId="15" fillId="0" borderId="14" xfId="8" applyNumberFormat="1" applyFont="1" applyBorder="1" applyProtection="1">
      <protection locked="0"/>
    </xf>
    <xf numFmtId="49" fontId="15" fillId="0" borderId="15" xfId="8" applyNumberFormat="1" applyFont="1" applyBorder="1" applyProtection="1">
      <protection locked="0"/>
    </xf>
    <xf numFmtId="0" fontId="18" fillId="9" borderId="16" xfId="8" applyFont="1" applyFill="1" applyBorder="1" applyProtection="1">
      <protection locked="0"/>
    </xf>
    <xf numFmtId="0" fontId="18" fillId="9" borderId="13" xfId="8" applyFont="1" applyFill="1" applyBorder="1" applyProtection="1">
      <protection locked="0"/>
    </xf>
    <xf numFmtId="0" fontId="18" fillId="0" borderId="16" xfId="8" applyFont="1" applyBorder="1" applyProtection="1">
      <protection locked="0"/>
    </xf>
    <xf numFmtId="0" fontId="18" fillId="10" borderId="11" xfId="8" applyFont="1" applyFill="1" applyBorder="1" applyProtection="1">
      <protection locked="0"/>
    </xf>
    <xf numFmtId="49" fontId="18" fillId="0" borderId="14" xfId="8" applyNumberFormat="1" applyFont="1" applyBorder="1" applyProtection="1">
      <protection locked="0"/>
    </xf>
    <xf numFmtId="49" fontId="18" fillId="0" borderId="6" xfId="8" applyNumberFormat="1" applyFont="1" applyBorder="1" applyProtection="1">
      <protection locked="0"/>
    </xf>
    <xf numFmtId="41" fontId="18" fillId="9" borderId="11" xfId="8" applyNumberFormat="1" applyFont="1" applyFill="1" applyBorder="1" applyProtection="1">
      <protection locked="0"/>
    </xf>
    <xf numFmtId="49" fontId="18" fillId="0" borderId="5" xfId="8" applyNumberFormat="1" applyFont="1" applyBorder="1" applyProtection="1">
      <protection locked="0"/>
    </xf>
    <xf numFmtId="49" fontId="15" fillId="0" borderId="17" xfId="8" applyNumberFormat="1" applyFont="1" applyBorder="1" applyProtection="1">
      <protection locked="0"/>
    </xf>
    <xf numFmtId="49" fontId="18" fillId="0" borderId="18" xfId="8" applyNumberFormat="1" applyFont="1" applyBorder="1" applyProtection="1">
      <protection locked="0"/>
    </xf>
    <xf numFmtId="41" fontId="18" fillId="9" borderId="25" xfId="8" applyNumberFormat="1" applyFont="1" applyFill="1" applyBorder="1" applyProtection="1">
      <protection locked="0"/>
    </xf>
    <xf numFmtId="41" fontId="18" fillId="9" borderId="24" xfId="8" applyNumberFormat="1" applyFont="1" applyFill="1" applyBorder="1" applyProtection="1">
      <protection locked="0"/>
    </xf>
    <xf numFmtId="41" fontId="18" fillId="0" borderId="25" xfId="8" applyNumberFormat="1" applyFont="1" applyBorder="1" applyProtection="1">
      <protection locked="0"/>
    </xf>
    <xf numFmtId="49" fontId="18" fillId="0" borderId="15" xfId="8" applyNumberFormat="1" applyFont="1" applyBorder="1"/>
    <xf numFmtId="41" fontId="18" fillId="9" borderId="7" xfId="8" applyNumberFormat="1" applyFont="1" applyFill="1" applyBorder="1" applyProtection="1">
      <protection locked="0"/>
    </xf>
    <xf numFmtId="0" fontId="18" fillId="0" borderId="15" xfId="8" applyFont="1" applyBorder="1"/>
    <xf numFmtId="49" fontId="15" fillId="0" borderId="26" xfId="8" applyNumberFormat="1" applyFont="1" applyBorder="1" applyProtection="1">
      <protection locked="0"/>
    </xf>
    <xf numFmtId="49" fontId="18" fillId="0" borderId="27" xfId="8" applyNumberFormat="1" applyFont="1" applyBorder="1" applyProtection="1">
      <protection locked="0"/>
    </xf>
    <xf numFmtId="0" fontId="18" fillId="0" borderId="28" xfId="8" applyFont="1" applyBorder="1" applyProtection="1">
      <protection locked="0"/>
    </xf>
    <xf numFmtId="41" fontId="18" fillId="9" borderId="28" xfId="8" applyNumberFormat="1" applyFont="1" applyFill="1" applyBorder="1" applyProtection="1">
      <protection locked="0"/>
    </xf>
    <xf numFmtId="41" fontId="18" fillId="0" borderId="29" xfId="8" applyNumberFormat="1" applyFont="1" applyBorder="1" applyProtection="1">
      <protection locked="0"/>
    </xf>
    <xf numFmtId="41" fontId="18" fillId="10" borderId="29" xfId="8" applyNumberFormat="1" applyFont="1" applyFill="1" applyBorder="1" applyProtection="1">
      <protection locked="0"/>
    </xf>
    <xf numFmtId="49" fontId="15" fillId="0" borderId="12" xfId="8" applyNumberFormat="1" applyFont="1" applyBorder="1" applyProtection="1">
      <protection locked="0"/>
    </xf>
    <xf numFmtId="0" fontId="18" fillId="0" borderId="30" xfId="8" applyFont="1" applyBorder="1"/>
    <xf numFmtId="49" fontId="15" fillId="0" borderId="31" xfId="8" applyNumberFormat="1" applyFont="1" applyBorder="1" applyProtection="1">
      <protection locked="0"/>
    </xf>
    <xf numFmtId="49" fontId="15" fillId="0" borderId="29" xfId="8" applyNumberFormat="1" applyFont="1" applyBorder="1" applyProtection="1">
      <protection locked="0"/>
    </xf>
    <xf numFmtId="49" fontId="18" fillId="0" borderId="29" xfId="8" applyNumberFormat="1" applyFont="1" applyBorder="1" applyProtection="1">
      <protection locked="0"/>
    </xf>
    <xf numFmtId="0" fontId="18" fillId="0" borderId="29" xfId="8" applyFont="1" applyBorder="1" applyProtection="1">
      <protection locked="0"/>
    </xf>
    <xf numFmtId="41" fontId="18" fillId="9" borderId="29" xfId="8" applyNumberFormat="1" applyFont="1" applyFill="1" applyBorder="1" applyProtection="1">
      <protection locked="0"/>
    </xf>
    <xf numFmtId="41" fontId="18" fillId="0" borderId="32" xfId="8" applyNumberFormat="1" applyFont="1" applyBorder="1" applyProtection="1">
      <protection locked="0"/>
    </xf>
    <xf numFmtId="49" fontId="15" fillId="0" borderId="5" xfId="8" applyNumberFormat="1" applyFont="1" applyBorder="1" applyProtection="1">
      <protection locked="0"/>
    </xf>
    <xf numFmtId="49" fontId="18" fillId="0" borderId="33" xfId="8" applyNumberFormat="1" applyFont="1" applyBorder="1" applyProtection="1">
      <protection locked="0"/>
    </xf>
    <xf numFmtId="0" fontId="18" fillId="0" borderId="34" xfId="8" applyFont="1" applyBorder="1" applyProtection="1">
      <protection locked="0"/>
    </xf>
    <xf numFmtId="41" fontId="18" fillId="9" borderId="34" xfId="8" applyNumberFormat="1" applyFont="1" applyFill="1" applyBorder="1" applyProtection="1">
      <protection locked="0"/>
    </xf>
    <xf numFmtId="41" fontId="18" fillId="0" borderId="21" xfId="8" applyNumberFormat="1" applyFont="1" applyBorder="1" applyProtection="1">
      <protection locked="0"/>
    </xf>
    <xf numFmtId="41" fontId="18" fillId="10" borderId="34" xfId="8" applyNumberFormat="1" applyFont="1" applyFill="1" applyBorder="1" applyProtection="1">
      <protection locked="0"/>
    </xf>
    <xf numFmtId="49" fontId="19" fillId="12" borderId="5" xfId="8" applyNumberFormat="1" applyFont="1" applyFill="1" applyBorder="1" applyProtection="1">
      <protection locked="0"/>
    </xf>
    <xf numFmtId="0" fontId="19" fillId="12" borderId="6" xfId="8" applyFont="1" applyFill="1" applyBorder="1" applyAlignment="1">
      <alignment horizontal="right"/>
    </xf>
    <xf numFmtId="0" fontId="19" fillId="12" borderId="11" xfId="8" applyFont="1" applyFill="1" applyBorder="1" applyProtection="1">
      <protection locked="0"/>
    </xf>
    <xf numFmtId="0" fontId="19" fillId="12" borderId="15" xfId="8" applyFont="1" applyFill="1" applyBorder="1" applyAlignment="1">
      <alignment horizontal="right"/>
    </xf>
    <xf numFmtId="49" fontId="19" fillId="12" borderId="26" xfId="8" applyNumberFormat="1" applyFont="1" applyFill="1" applyBorder="1" applyProtection="1">
      <protection locked="0"/>
    </xf>
    <xf numFmtId="0" fontId="19" fillId="12" borderId="27" xfId="8" applyFont="1" applyFill="1" applyBorder="1" applyAlignment="1">
      <alignment horizontal="right"/>
    </xf>
    <xf numFmtId="0" fontId="19" fillId="12" borderId="28" xfId="8" applyFont="1" applyFill="1" applyBorder="1" applyProtection="1">
      <protection locked="0"/>
    </xf>
    <xf numFmtId="41" fontId="18" fillId="10" borderId="28" xfId="8" applyNumberFormat="1" applyFont="1" applyFill="1" applyBorder="1" applyProtection="1">
      <protection locked="0"/>
    </xf>
    <xf numFmtId="49" fontId="19" fillId="0" borderId="0" xfId="8" applyNumberFormat="1" applyFont="1" applyProtection="1">
      <protection locked="0"/>
    </xf>
    <xf numFmtId="0" fontId="19" fillId="0" borderId="0" xfId="8" applyFont="1" applyAlignment="1">
      <alignment horizontal="right"/>
    </xf>
    <xf numFmtId="0" fontId="19" fillId="0" borderId="0" xfId="8" applyFont="1" applyProtection="1">
      <protection locked="0"/>
    </xf>
    <xf numFmtId="41" fontId="18" fillId="10" borderId="7" xfId="8" applyNumberFormat="1" applyFont="1" applyFill="1" applyBorder="1" applyProtection="1">
      <protection locked="0"/>
    </xf>
    <xf numFmtId="49" fontId="18" fillId="0" borderId="0" xfId="8" applyNumberFormat="1" applyFont="1" applyAlignment="1" applyProtection="1">
      <alignment horizontal="left"/>
      <protection locked="0"/>
    </xf>
    <xf numFmtId="0" fontId="18" fillId="0" borderId="0" xfId="8" applyFont="1" applyProtection="1">
      <protection locked="0"/>
    </xf>
    <xf numFmtId="0" fontId="18" fillId="0" borderId="6" xfId="8" applyFont="1" applyBorder="1" applyAlignment="1" applyProtection="1">
      <alignment horizontal="center"/>
      <protection locked="0"/>
    </xf>
    <xf numFmtId="0" fontId="22" fillId="0" borderId="0" xfId="8" applyFont="1" applyAlignment="1">
      <alignment horizontal="right"/>
    </xf>
    <xf numFmtId="0" fontId="18" fillId="0" borderId="15" xfId="8" applyFont="1" applyBorder="1" applyProtection="1">
      <protection locked="0"/>
    </xf>
    <xf numFmtId="0" fontId="22" fillId="0" borderId="0" xfId="8" applyFont="1" applyProtection="1">
      <protection locked="0"/>
    </xf>
    <xf numFmtId="0" fontId="18" fillId="0" borderId="0" xfId="8" applyFont="1" applyAlignment="1" applyProtection="1">
      <alignment horizontal="right"/>
      <protection locked="0"/>
    </xf>
    <xf numFmtId="0" fontId="22" fillId="0" borderId="6" xfId="8" applyFont="1" applyBorder="1" applyAlignment="1" applyProtection="1">
      <alignment horizontal="center"/>
      <protection locked="0"/>
    </xf>
    <xf numFmtId="0" fontId="22" fillId="0" borderId="0" xfId="8" applyFont="1" applyAlignment="1" applyProtection="1">
      <alignment horizontal="center"/>
      <protection locked="0"/>
    </xf>
    <xf numFmtId="0" fontId="15" fillId="0" borderId="26" xfId="8" quotePrefix="1" applyFont="1" applyBorder="1" applyAlignment="1">
      <alignment vertical="top" wrapText="1"/>
    </xf>
    <xf numFmtId="0" fontId="15" fillId="0" borderId="28" xfId="8" quotePrefix="1" applyFont="1" applyBorder="1" applyAlignment="1">
      <alignment horizontal="center" vertical="top" wrapText="1"/>
    </xf>
    <xf numFmtId="37" fontId="15" fillId="0" borderId="28" xfId="8" applyNumberFormat="1" applyFont="1" applyBorder="1" applyAlignment="1">
      <alignment horizontal="center" vertical="top" wrapText="1"/>
    </xf>
    <xf numFmtId="37" fontId="15" fillId="0" borderId="27" xfId="8" quotePrefix="1" applyNumberFormat="1" applyFont="1" applyBorder="1" applyAlignment="1">
      <alignment horizontal="center" vertical="top" wrapText="1"/>
    </xf>
    <xf numFmtId="37" fontId="15" fillId="0" borderId="29" xfId="8" applyNumberFormat="1" applyFont="1" applyBorder="1" applyAlignment="1">
      <alignment horizontal="center" vertical="top" wrapText="1"/>
    </xf>
    <xf numFmtId="0" fontId="15" fillId="0" borderId="29" xfId="8" applyFont="1" applyBorder="1"/>
    <xf numFmtId="0" fontId="15" fillId="0" borderId="0" xfId="8" applyFont="1"/>
    <xf numFmtId="0" fontId="15" fillId="0" borderId="35" xfId="8" applyFont="1" applyBorder="1" applyAlignment="1" applyProtection="1">
      <alignment horizontal="left"/>
      <protection locked="0"/>
    </xf>
    <xf numFmtId="0" fontId="18" fillId="0" borderId="31" xfId="8" applyFont="1" applyBorder="1" applyProtection="1">
      <protection locked="0"/>
    </xf>
    <xf numFmtId="41" fontId="18" fillId="0" borderId="9" xfId="8" applyNumberFormat="1" applyFont="1" applyBorder="1" applyProtection="1">
      <protection locked="0"/>
    </xf>
    <xf numFmtId="41" fontId="18" fillId="0" borderId="0" xfId="8" applyNumberFormat="1" applyFont="1" applyProtection="1">
      <protection locked="0"/>
    </xf>
    <xf numFmtId="41" fontId="18" fillId="0" borderId="10" xfId="8" applyNumberFormat="1" applyFont="1" applyBorder="1" applyProtection="1">
      <protection locked="0"/>
    </xf>
    <xf numFmtId="41" fontId="18" fillId="0" borderId="14" xfId="8" applyNumberFormat="1" applyFont="1" applyBorder="1" applyProtection="1">
      <protection locked="0"/>
    </xf>
    <xf numFmtId="0" fontId="23" fillId="11" borderId="5" xfId="8" applyFont="1" applyFill="1" applyBorder="1" applyAlignment="1" applyProtection="1">
      <alignment horizontal="right"/>
      <protection locked="0"/>
    </xf>
    <xf numFmtId="0" fontId="23" fillId="11" borderId="11" xfId="8" applyFont="1" applyFill="1" applyBorder="1" applyProtection="1">
      <protection locked="0"/>
    </xf>
    <xf numFmtId="49" fontId="15" fillId="0" borderId="5" xfId="8" applyNumberFormat="1" applyFont="1" applyBorder="1" applyAlignment="1" applyProtection="1">
      <alignment horizontal="left"/>
      <protection locked="0"/>
    </xf>
    <xf numFmtId="0" fontId="15" fillId="0" borderId="11" xfId="8" applyFont="1" applyBorder="1" applyProtection="1">
      <protection locked="0"/>
    </xf>
    <xf numFmtId="0" fontId="23" fillId="11" borderId="5" xfId="8" applyFont="1" applyFill="1" applyBorder="1" applyAlignment="1" applyProtection="1">
      <alignment horizontal="left"/>
      <protection locked="0"/>
    </xf>
    <xf numFmtId="0" fontId="15" fillId="0" borderId="5" xfId="8" applyFont="1" applyBorder="1" applyAlignment="1" applyProtection="1">
      <alignment horizontal="left"/>
      <protection locked="0"/>
    </xf>
    <xf numFmtId="0" fontId="15" fillId="0" borderId="16" xfId="8" applyFont="1" applyBorder="1"/>
    <xf numFmtId="0" fontId="18" fillId="0" borderId="5" xfId="8" applyFont="1" applyBorder="1" applyAlignment="1" applyProtection="1">
      <alignment horizontal="left" vertical="top"/>
      <protection locked="0"/>
    </xf>
    <xf numFmtId="0" fontId="18" fillId="0" borderId="11" xfId="8" applyFont="1" applyBorder="1" applyAlignment="1" applyProtection="1">
      <alignment horizontal="left" wrapText="1"/>
      <protection locked="0"/>
    </xf>
    <xf numFmtId="0" fontId="18" fillId="0" borderId="16" xfId="8" applyFont="1" applyBorder="1" applyAlignment="1">
      <alignment horizontal="center"/>
    </xf>
    <xf numFmtId="0" fontId="18" fillId="0" borderId="0" xfId="8" applyFont="1" applyAlignment="1">
      <alignment horizontal="center"/>
    </xf>
    <xf numFmtId="0" fontId="15" fillId="0" borderId="16" xfId="8" applyFont="1" applyBorder="1" applyAlignment="1">
      <alignment horizontal="center"/>
    </xf>
    <xf numFmtId="0" fontId="15" fillId="0" borderId="0" xfId="8" applyFont="1" applyAlignment="1">
      <alignment horizontal="center"/>
    </xf>
    <xf numFmtId="0" fontId="18" fillId="0" borderId="11" xfId="8" applyFont="1" applyBorder="1" applyAlignment="1" applyProtection="1">
      <alignment wrapText="1"/>
      <protection locked="0"/>
    </xf>
    <xf numFmtId="0" fontId="18" fillId="0" borderId="11" xfId="8" applyFont="1" applyBorder="1" applyAlignment="1" applyProtection="1">
      <alignment horizontal="left"/>
      <protection locked="0"/>
    </xf>
    <xf numFmtId="0" fontId="18" fillId="0" borderId="14" xfId="8" applyFont="1" applyBorder="1" applyProtection="1">
      <protection locked="0"/>
    </xf>
    <xf numFmtId="0" fontId="18" fillId="0" borderId="2" xfId="8" applyFont="1" applyBorder="1" applyProtection="1">
      <protection locked="0"/>
    </xf>
    <xf numFmtId="0" fontId="18" fillId="0" borderId="8" xfId="8" applyFont="1" applyBorder="1" applyProtection="1">
      <protection locked="0"/>
    </xf>
    <xf numFmtId="41" fontId="18" fillId="0" borderId="4" xfId="8" applyNumberFormat="1" applyFont="1" applyBorder="1" applyProtection="1">
      <protection locked="0"/>
    </xf>
    <xf numFmtId="41" fontId="18" fillId="0" borderId="2" xfId="8" applyNumberFormat="1" applyFont="1" applyBorder="1" applyProtection="1">
      <protection locked="0"/>
    </xf>
    <xf numFmtId="0" fontId="18" fillId="0" borderId="4" xfId="8" applyFont="1" applyBorder="1"/>
    <xf numFmtId="0" fontId="15" fillId="0" borderId="36" xfId="8" applyFont="1" applyBorder="1" applyProtection="1">
      <protection locked="0"/>
    </xf>
    <xf numFmtId="0" fontId="15" fillId="0" borderId="37" xfId="8" applyFont="1" applyBorder="1" applyProtection="1">
      <protection locked="0"/>
    </xf>
    <xf numFmtId="41" fontId="18" fillId="0" borderId="38" xfId="8" applyNumberFormat="1" applyFont="1" applyBorder="1" applyProtection="1">
      <protection locked="0"/>
    </xf>
    <xf numFmtId="41" fontId="18" fillId="0" borderId="36" xfId="8" applyNumberFormat="1" applyFont="1" applyBorder="1" applyProtection="1">
      <protection locked="0"/>
    </xf>
    <xf numFmtId="0" fontId="18" fillId="0" borderId="38" xfId="8" applyFont="1" applyBorder="1"/>
    <xf numFmtId="41" fontId="18" fillId="0" borderId="11" xfId="8" applyNumberFormat="1" applyFont="1" applyBorder="1" applyProtection="1">
      <protection locked="0"/>
    </xf>
    <xf numFmtId="41" fontId="18" fillId="0" borderId="6" xfId="8" applyNumberFormat="1" applyFont="1" applyBorder="1" applyProtection="1">
      <protection locked="0"/>
    </xf>
    <xf numFmtId="0" fontId="15" fillId="0" borderId="12" xfId="8" applyFont="1" applyBorder="1" applyAlignment="1" applyProtection="1">
      <alignment horizontal="left"/>
      <protection locked="0"/>
    </xf>
    <xf numFmtId="0" fontId="18" fillId="0" borderId="9" xfId="8" applyFont="1" applyBorder="1" applyProtection="1">
      <protection locked="0"/>
    </xf>
    <xf numFmtId="0" fontId="15" fillId="0" borderId="36" xfId="8" applyFont="1" applyBorder="1" applyAlignment="1" applyProtection="1">
      <alignment horizontal="left"/>
      <protection locked="0"/>
    </xf>
    <xf numFmtId="0" fontId="18" fillId="0" borderId="37" xfId="8" applyFont="1" applyBorder="1" applyProtection="1">
      <protection locked="0"/>
    </xf>
    <xf numFmtId="41" fontId="18" fillId="0" borderId="37" xfId="8" applyNumberFormat="1" applyFont="1" applyBorder="1" applyProtection="1">
      <protection locked="0"/>
    </xf>
    <xf numFmtId="41" fontId="18" fillId="0" borderId="39" xfId="8" applyNumberFormat="1" applyFont="1" applyBorder="1" applyProtection="1">
      <protection locked="0"/>
    </xf>
    <xf numFmtId="0" fontId="25" fillId="0" borderId="16" xfId="8" applyFont="1" applyBorder="1"/>
    <xf numFmtId="0" fontId="18" fillId="0" borderId="14" xfId="8" applyFont="1" applyBorder="1" applyAlignment="1" applyProtection="1">
      <alignment horizontal="left"/>
      <protection locked="0"/>
    </xf>
    <xf numFmtId="0" fontId="18" fillId="0" borderId="5" xfId="8" applyFont="1" applyBorder="1" applyAlignment="1" applyProtection="1">
      <alignment horizontal="right"/>
      <protection locked="0"/>
    </xf>
    <xf numFmtId="0" fontId="18" fillId="0" borderId="12" xfId="8" applyFont="1" applyBorder="1" applyAlignment="1" applyProtection="1">
      <alignment horizontal="left"/>
      <protection locked="0"/>
    </xf>
    <xf numFmtId="0" fontId="15" fillId="0" borderId="14" xfId="8" applyFont="1" applyBorder="1" applyAlignment="1" applyProtection="1">
      <alignment horizontal="left"/>
      <protection locked="0"/>
    </xf>
    <xf numFmtId="0" fontId="28" fillId="0" borderId="13" xfId="8" applyFont="1" applyBorder="1" applyProtection="1">
      <protection locked="0"/>
    </xf>
    <xf numFmtId="0" fontId="15" fillId="0" borderId="40" xfId="8" applyFont="1" applyBorder="1" applyAlignment="1" applyProtection="1">
      <alignment horizontal="left"/>
      <protection locked="0"/>
    </xf>
    <xf numFmtId="0" fontId="18" fillId="0" borderId="41" xfId="8" applyFont="1" applyBorder="1" applyProtection="1">
      <protection locked="0"/>
    </xf>
    <xf numFmtId="41" fontId="18" fillId="0" borderId="41" xfId="8" applyNumberFormat="1" applyFont="1" applyBorder="1" applyProtection="1">
      <protection locked="0"/>
    </xf>
    <xf numFmtId="41" fontId="18" fillId="0" borderId="42" xfId="8" applyNumberFormat="1" applyFont="1" applyBorder="1" applyProtection="1">
      <protection locked="0"/>
    </xf>
    <xf numFmtId="41" fontId="18" fillId="0" borderId="43" xfId="8" applyNumberFormat="1" applyFont="1" applyBorder="1" applyProtection="1">
      <protection locked="0"/>
    </xf>
    <xf numFmtId="0" fontId="18" fillId="0" borderId="29" xfId="8" applyFont="1" applyBorder="1"/>
    <xf numFmtId="0" fontId="18" fillId="0" borderId="35" xfId="8" applyFont="1" applyBorder="1" applyAlignment="1" applyProtection="1">
      <alignment horizontal="left"/>
      <protection locked="0"/>
    </xf>
    <xf numFmtId="0" fontId="15" fillId="0" borderId="31" xfId="8" applyFont="1" applyBorder="1" applyProtection="1">
      <protection locked="0"/>
    </xf>
    <xf numFmtId="41" fontId="18" fillId="0" borderId="31" xfId="8" applyNumberFormat="1" applyFont="1" applyBorder="1" applyProtection="1">
      <protection locked="0"/>
    </xf>
    <xf numFmtId="41" fontId="18" fillId="0" borderId="30" xfId="8" applyNumberFormat="1" applyFont="1" applyBorder="1" applyProtection="1">
      <protection locked="0"/>
    </xf>
    <xf numFmtId="0" fontId="15" fillId="0" borderId="18" xfId="8" applyFont="1" applyBorder="1" applyAlignment="1" applyProtection="1">
      <alignment horizontal="left"/>
      <protection locked="0"/>
    </xf>
    <xf numFmtId="41" fontId="18" fillId="0" borderId="19" xfId="8" applyNumberFormat="1" applyFont="1" applyBorder="1" applyProtection="1">
      <protection locked="0"/>
    </xf>
    <xf numFmtId="0" fontId="18" fillId="0" borderId="0" xfId="8" applyFont="1" applyAlignment="1" applyProtection="1">
      <alignment horizontal="left"/>
      <protection locked="0"/>
    </xf>
    <xf numFmtId="37" fontId="18" fillId="0" borderId="0" xfId="8" applyNumberFormat="1" applyFont="1" applyProtection="1">
      <protection locked="0"/>
    </xf>
    <xf numFmtId="0" fontId="18" fillId="0" borderId="6" xfId="8" applyFont="1" applyBorder="1" applyAlignment="1" applyProtection="1">
      <alignment horizontal="left"/>
      <protection locked="0"/>
    </xf>
    <xf numFmtId="0" fontId="18" fillId="0" borderId="0" xfId="8" applyFont="1" applyProtection="1">
      <protection hidden="1"/>
    </xf>
    <xf numFmtId="37" fontId="18" fillId="0" borderId="0" xfId="8" applyNumberFormat="1" applyFont="1"/>
    <xf numFmtId="0" fontId="18" fillId="0" borderId="0" xfId="8" applyFont="1" applyAlignment="1">
      <alignment horizontal="right"/>
    </xf>
    <xf numFmtId="0" fontId="18" fillId="0" borderId="15" xfId="8" applyFont="1" applyBorder="1" applyAlignment="1" applyProtection="1">
      <alignment horizontal="left"/>
      <protection locked="0"/>
    </xf>
    <xf numFmtId="37" fontId="18" fillId="0" borderId="0" xfId="8" applyNumberFormat="1" applyFont="1" applyAlignment="1">
      <alignment horizontal="right"/>
    </xf>
    <xf numFmtId="0" fontId="18" fillId="0" borderId="0" xfId="8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0" fillId="0" borderId="16" xfId="0" applyBorder="1"/>
    <xf numFmtId="44" fontId="4" fillId="0" borderId="6" xfId="7" applyFont="1" applyBorder="1"/>
    <xf numFmtId="44" fontId="2" fillId="0" borderId="6" xfId="7" applyFont="1" applyFill="1" applyBorder="1"/>
    <xf numFmtId="42" fontId="4" fillId="0" borderId="6" xfId="7" applyNumberFormat="1" applyFont="1" applyBorder="1"/>
    <xf numFmtId="41" fontId="4" fillId="0" borderId="0" xfId="7" applyNumberFormat="1" applyFont="1"/>
    <xf numFmtId="42" fontId="0" fillId="0" borderId="16" xfId="7" applyNumberFormat="1" applyFont="1" applyBorder="1"/>
    <xf numFmtId="0" fontId="2" fillId="0" borderId="16" xfId="0" applyFont="1" applyBorder="1" applyAlignment="1">
      <alignment horizontal="left"/>
    </xf>
    <xf numFmtId="44" fontId="16" fillId="0" borderId="16" xfId="7" applyFont="1" applyBorder="1"/>
    <xf numFmtId="44" fontId="0" fillId="0" borderId="16" xfId="7" applyFont="1" applyBorder="1"/>
    <xf numFmtId="42" fontId="2" fillId="0" borderId="16" xfId="7" applyNumberFormat="1" applyFont="1" applyBorder="1"/>
    <xf numFmtId="42" fontId="2" fillId="0" borderId="16" xfId="0" applyNumberFormat="1" applyFont="1" applyBorder="1"/>
    <xf numFmtId="42" fontId="0" fillId="0" borderId="16" xfId="0" applyNumberFormat="1" applyBorder="1"/>
    <xf numFmtId="42" fontId="16" fillId="0" borderId="16" xfId="7" applyNumberFormat="1" applyFont="1" applyBorder="1"/>
    <xf numFmtId="42" fontId="16" fillId="0" borderId="16" xfId="0" applyNumberFormat="1" applyFont="1" applyBorder="1"/>
    <xf numFmtId="44" fontId="0" fillId="0" borderId="16" xfId="0" applyNumberFormat="1" applyBorder="1"/>
    <xf numFmtId="166" fontId="16" fillId="0" borderId="16" xfId="7" applyNumberFormat="1" applyFont="1" applyBorder="1" applyAlignment="1">
      <alignment horizontal="center" vertical="center" wrapText="1"/>
    </xf>
    <xf numFmtId="166" fontId="16" fillId="0" borderId="16" xfId="7" applyNumberFormat="1" applyFont="1" applyBorder="1"/>
    <xf numFmtId="166" fontId="0" fillId="0" borderId="16" xfId="7" applyNumberFormat="1" applyFont="1" applyBorder="1"/>
    <xf numFmtId="166" fontId="2" fillId="0" borderId="16" xfId="7" applyNumberFormat="1" applyFont="1" applyBorder="1"/>
    <xf numFmtId="166" fontId="16" fillId="0" borderId="16" xfId="0" applyNumberFormat="1" applyFont="1" applyBorder="1"/>
    <xf numFmtId="166" fontId="0" fillId="0" borderId="16" xfId="0" applyNumberFormat="1" applyBorder="1"/>
    <xf numFmtId="166" fontId="2" fillId="0" borderId="16" xfId="0" applyNumberFormat="1" applyFont="1" applyBorder="1"/>
    <xf numFmtId="44" fontId="2" fillId="0" borderId="16" xfId="0" applyNumberFormat="1" applyFont="1" applyBorder="1"/>
    <xf numFmtId="44" fontId="2" fillId="0" borderId="16" xfId="7" applyFont="1" applyBorder="1"/>
    <xf numFmtId="0" fontId="4" fillId="0" borderId="0" xfId="0" applyFont="1" applyAlignment="1">
      <alignment horizontal="left" vertical="center" wrapText="1"/>
    </xf>
    <xf numFmtId="44" fontId="4" fillId="0" borderId="0" xfId="7" applyFont="1"/>
    <xf numFmtId="42" fontId="4" fillId="0" borderId="0" xfId="7" applyNumberFormat="1" applyFont="1"/>
    <xf numFmtId="44" fontId="4" fillId="0" borderId="16" xfId="7" applyFont="1" applyBorder="1"/>
    <xf numFmtId="44" fontId="16" fillId="0" borderId="16" xfId="0" applyNumberFormat="1" applyFont="1" applyBorder="1"/>
    <xf numFmtId="42" fontId="4" fillId="0" borderId="16" xfId="7" applyNumberFormat="1" applyFont="1" applyBorder="1"/>
    <xf numFmtId="42" fontId="4" fillId="0" borderId="16" xfId="0" applyNumberFormat="1" applyFont="1" applyBorder="1"/>
    <xf numFmtId="44" fontId="4" fillId="0" borderId="16" xfId="0" applyNumberFormat="1" applyFont="1" applyBorder="1"/>
    <xf numFmtId="0" fontId="16" fillId="0" borderId="16" xfId="0" applyFont="1" applyBorder="1"/>
    <xf numFmtId="44" fontId="2" fillId="0" borderId="11" xfId="7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4" fontId="4" fillId="0" borderId="4" xfId="0" applyNumberFormat="1" applyFont="1" applyBorder="1"/>
    <xf numFmtId="10" fontId="4" fillId="0" borderId="0" xfId="0" applyNumberFormat="1" applyFont="1"/>
    <xf numFmtId="0" fontId="4" fillId="0" borderId="6" xfId="8" applyFont="1" applyBorder="1" applyAlignment="1">
      <alignment horizontal="right"/>
    </xf>
    <xf numFmtId="44" fontId="2" fillId="0" borderId="16" xfId="8" applyNumberFormat="1" applyFont="1" applyBorder="1"/>
    <xf numFmtId="0" fontId="2" fillId="0" borderId="16" xfId="8" applyFont="1" applyBorder="1"/>
    <xf numFmtId="0" fontId="4" fillId="0" borderId="0" xfId="8" applyFont="1"/>
    <xf numFmtId="0" fontId="4" fillId="0" borderId="0" xfId="8" applyFont="1" applyAlignment="1">
      <alignment horizontal="center" vertical="center" wrapText="1"/>
    </xf>
    <xf numFmtId="44" fontId="4" fillId="0" borderId="16" xfId="8" applyNumberFormat="1" applyFont="1" applyBorder="1"/>
    <xf numFmtId="0" fontId="4" fillId="0" borderId="16" xfId="8" applyFont="1" applyBorder="1"/>
    <xf numFmtId="42" fontId="4" fillId="0" borderId="16" xfId="8" applyNumberFormat="1" applyFont="1" applyBorder="1"/>
    <xf numFmtId="44" fontId="4" fillId="0" borderId="4" xfId="8" applyNumberFormat="1" applyFont="1" applyBorder="1"/>
    <xf numFmtId="44" fontId="4" fillId="0" borderId="7" xfId="8" applyNumberFormat="1" applyFont="1" applyBorder="1"/>
    <xf numFmtId="10" fontId="4" fillId="0" borderId="0" xfId="12" applyNumberFormat="1" applyFont="1"/>
    <xf numFmtId="44" fontId="4" fillId="0" borderId="16" xfId="7" applyBorder="1"/>
    <xf numFmtId="42" fontId="4" fillId="0" borderId="16" xfId="7" applyNumberFormat="1" applyBorder="1"/>
    <xf numFmtId="0" fontId="4" fillId="0" borderId="0" xfId="0" applyFont="1" applyAlignment="1">
      <alignment wrapText="1"/>
    </xf>
    <xf numFmtId="0" fontId="3" fillId="0" borderId="16" xfId="9" applyFont="1" applyBorder="1" applyAlignment="1" applyProtection="1">
      <alignment horizontal="left"/>
    </xf>
  </cellXfs>
  <cellStyles count="14">
    <cellStyle name="Accent5" xfId="5" builtinId="45"/>
    <cellStyle name="Accent6" xfId="6" builtinId="49"/>
    <cellStyle name="Bad" xfId="2" builtinId="27"/>
    <cellStyle name="Comma 2" xfId="10" xr:uid="{C2048104-3BE9-44D5-AC9F-5AA9610976F6}"/>
    <cellStyle name="Currency 2" xfId="7" xr:uid="{1FF442E8-712C-422A-84B9-40B7ED360683}"/>
    <cellStyle name="Good" xfId="1" builtinId="26"/>
    <cellStyle name="Hyperlink" xfId="9" builtinId="8"/>
    <cellStyle name="Input" xfId="4" builtinId="20"/>
    <cellStyle name="Neutral" xfId="3" builtinId="28"/>
    <cellStyle name="Normal" xfId="0" builtinId="0"/>
    <cellStyle name="Normal 2 2" xfId="8" xr:uid="{890532CF-CD24-412D-8721-A893C6ED6B6C}"/>
    <cellStyle name="Normal 24" xfId="13" xr:uid="{B56211A4-B42D-4605-8453-6D494B27264F}"/>
    <cellStyle name="Normal 4" xfId="11" xr:uid="{5D7C4E55-A7B4-4CAE-9126-11F4796C818B}"/>
    <cellStyle name="Percent 2" xfId="12" xr:uid="{D0A522EC-C364-4031-8613-58045C22A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externalLink" Target="externalLinks/externalLink2.xml"/><Relationship Id="rId95" Type="http://schemas.openxmlformats.org/officeDocument/2006/relationships/externalLink" Target="externalLinks/externalLink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2.xml"/><Relationship Id="rId105" Type="http://schemas.openxmlformats.org/officeDocument/2006/relationships/externalLink" Target="externalLinks/externalLink1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externalLink" Target="externalLinks/externalLink5.xml"/><Relationship Id="rId9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15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externalLink" Target="externalLinks/externalLink3.xml"/><Relationship Id="rId96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6.xml"/><Relationship Id="rId99" Type="http://schemas.openxmlformats.org/officeDocument/2006/relationships/externalLink" Target="externalLinks/externalLink11.xml"/><Relationship Id="rId10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9.xml"/><Relationship Id="rId10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Carson%20City%20-%20PCFP%20Budget%20for%20Comparison%20template%20for%20CSF%20members-5.11.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Lincoln%20-%20PCFP%20Budget%20for%20Comparison%20template%20for%20CSF%20members-5.11.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Lyon%20-%20PCFP%20Budget%20for%20Comparison%20template%20for%20CSF%20members-5.11.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Mineral%20-%20PCFP%20Budget%20for%20Comparison%20template%20for%20CSF%20members-5.11.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Nye%20-%20PCFP%20Budget%20for%20Comparison%20template%20for%20CSF%20members-5.11.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Pershing%20-%20PCFP%20Budget%20for%20Comparison%20template%20for%20CSF%20members-5.11.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Storey%20-%20PCFP%20Budget%20for%20Comparison%20template%20for%20CSF%20members-5.11.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CFP\Allocations_Budget_Expenditures_Revenues\Revenues_Expenditures\District%20Request\CSF%20District%20budget%20Comparisons\CSF%20PCFP%20Budget%20for%20Comparison%20-Washoe-331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White%20Pine%20-%20PCFP%20Budget%20for%20Comparison%20template%20for%20CSF%20members-5.11.2020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Churchill%20-%20PCFP%20Budget%20for%20Comparison%20template%20for%20CSF%20members-5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CFP\Allocations_Budget_Expenditures_Revenues\Revenues_Expenditures\District%20Request\CSF%20District%20budget%20Comparisons\CSF%20PCFP%20Budget%20for%20Comparison%20-Clark%20County%20School%20District-33120%20(Submitt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Douglas%20-%20PCFP%20Budget%20for%20Comparison%20template%20for%20CSF%20members-5.11.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Elko%20-%20PCFP%20Budget%20for%20Comparison%20template%20for%20CSF%20members-5.11.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Esmeralda%20-%20PCFP%20Budget%20for%20Comparison%20template%20for%20CSF%20members-5.11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Eureka%20-%20PCFP%20Budget%20for%20Comparison%20template%20for%20CSF%20members-5.11.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Humboldt%20-%20PCFP%20Budget%20for%20Comparison%20template%20for%20CSF%20members-5.11.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nke/Desktop/CSF%20Ready/Master%20Files/Lander%20-%20PCFP%20Budget%20for%20Comparison%20template%20for%20CSF%20members-5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Car"/>
      <sheetName val="Comparative Summary"/>
      <sheetName val="19_20 District Budget Sum"/>
      <sheetName val="PCFP - All Revenue AA-1 R"/>
      <sheetName val="Form 30"/>
      <sheetName val="Form 5 (BB)"/>
      <sheetName val="Form 6 (BB)"/>
      <sheetName val="Form 6A (BB)"/>
      <sheetName val="PCFP-All Expense AA-1 Modified-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Linc"/>
      <sheetName val="Comparative Summary"/>
      <sheetName val="19_20 District Budget Summary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11"/>
      <sheetName val="Comparative Summary-11"/>
      <sheetName val="19_20 District Budget Summary-1"/>
      <sheetName val="PCFP - All Revenue AA-1 R-11"/>
      <sheetName val="Form 30"/>
      <sheetName val="Form 5 (BB)"/>
      <sheetName val="Form 6 (BB)"/>
      <sheetName val="Form 6A (BB)"/>
      <sheetName val="PCFP-All Expense AA-1 Modifd-11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Miner"/>
      <sheetName val="Comparative Summary"/>
      <sheetName val="19_20 District Budget Summary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Nye"/>
      <sheetName val="Comparative Summary"/>
      <sheetName val="19_20 District Budget Summary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Persh"/>
      <sheetName val="Comparative Summary"/>
      <sheetName val="19_20 District Budget Summary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Storey"/>
      <sheetName val="Comparative Summary"/>
      <sheetName val="19_20 District Budget Summary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Instructions"/>
      <sheetName val="List of State Grants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5">
          <cell r="C85" t="str">
            <v>Washoe County School District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19">
          <cell r="I119">
            <v>15366199</v>
          </cell>
        </row>
        <row r="146">
          <cell r="J146">
            <v>-93666373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White Pine"/>
      <sheetName val="Comparative Summary"/>
      <sheetName val="19_20 District Budget Summary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Chur"/>
      <sheetName val="Comparative Summary"/>
      <sheetName val="19_20 District Budget Summary"/>
      <sheetName val="PCFP - All Revenue AA-1 R"/>
      <sheetName val="Form 30"/>
      <sheetName val="Form 5 (BB)"/>
      <sheetName val="Form 6 (BB)"/>
      <sheetName val="Form 6A (BB)"/>
      <sheetName val="PCFP-All Expense AA-1 Modified"/>
      <sheetName val="Comments-Questions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Instructions"/>
      <sheetName val="List of State Grants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/>
      <sheetData sheetId="2"/>
      <sheetData sheetId="3"/>
      <sheetData sheetId="4"/>
      <sheetData sheetId="5">
        <row r="85">
          <cell r="C85" t="str">
            <v>Clark County School District (CCSD)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Sheet1"/>
      <sheetName val="Title Page-Doug"/>
      <sheetName val="Comparative Summary"/>
      <sheetName val="19_20 District Budget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Elko"/>
      <sheetName val="Comparative Summary"/>
      <sheetName val="19_20 District Budget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Esmer"/>
      <sheetName val="Comparative Summary"/>
      <sheetName val="19_20 District Budget Summary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Eureka"/>
      <sheetName val="Comparative Summary"/>
      <sheetName val="19_20 District Budget Summary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Humb"/>
      <sheetName val="Comparative Summary"/>
      <sheetName val="19_20 District Budget Summary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 (B-1)"/>
      <sheetName val="Form 2 (B-1)Alt"/>
      <sheetName val="Title Page-Land"/>
      <sheetName val="Comparative Summary"/>
      <sheetName val="19_20 District Budget"/>
      <sheetName val="PCFP - All Revenue AA-1 R"/>
      <sheetName val="Form 30"/>
      <sheetName val="Form 5 (BB)"/>
      <sheetName val="Form 6 (BB)"/>
      <sheetName val="Form 6A (BB)"/>
      <sheetName val="PCFP-All Expense AA-1 Modified"/>
    </sheetNames>
    <sheetDataSet>
      <sheetData sheetId="0">
        <row r="136">
          <cell r="C136" t="str">
            <v>2019-2020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A3D34-8408-4AF5-9206-3C841A48DA7E}">
  <dimension ref="A1:S89"/>
  <sheetViews>
    <sheetView showGridLines="0" tabSelected="1" workbookViewId="0">
      <selection activeCell="J35" sqref="J35"/>
    </sheetView>
  </sheetViews>
  <sheetFormatPr defaultRowHeight="12.75" x14ac:dyDescent="0.2"/>
  <cols>
    <col min="1" max="1" width="2.85546875" customWidth="1"/>
    <col min="2" max="2" width="3.140625" customWidth="1"/>
    <col min="6" max="6" width="16.28515625" bestFit="1" customWidth="1"/>
  </cols>
  <sheetData>
    <row r="1" spans="1:7" s="5" customFormat="1" ht="15.75" x14ac:dyDescent="0.25">
      <c r="A1" s="5" t="s">
        <v>84</v>
      </c>
    </row>
    <row r="2" spans="1:7" s="5" customFormat="1" ht="15.75" x14ac:dyDescent="0.25">
      <c r="A2" s="5" t="s">
        <v>85</v>
      </c>
    </row>
    <row r="4" spans="1:7" s="2" customFormat="1" x14ac:dyDescent="0.2">
      <c r="A4" s="2">
        <v>1</v>
      </c>
      <c r="B4" s="2" t="s">
        <v>92</v>
      </c>
      <c r="G4" s="2" t="s">
        <v>842</v>
      </c>
    </row>
    <row r="5" spans="1:7" x14ac:dyDescent="0.2">
      <c r="C5" t="s">
        <v>86</v>
      </c>
    </row>
    <row r="6" spans="1:7" x14ac:dyDescent="0.2">
      <c r="C6" t="s">
        <v>87</v>
      </c>
    </row>
    <row r="7" spans="1:7" x14ac:dyDescent="0.2">
      <c r="C7" t="s">
        <v>88</v>
      </c>
    </row>
    <row r="8" spans="1:7" x14ac:dyDescent="0.2">
      <c r="C8" t="s">
        <v>89</v>
      </c>
    </row>
    <row r="9" spans="1:7" s="2" customFormat="1" x14ac:dyDescent="0.2">
      <c r="A9" s="2">
        <v>2</v>
      </c>
      <c r="B9" s="2" t="s">
        <v>91</v>
      </c>
      <c r="G9" s="2" t="s">
        <v>843</v>
      </c>
    </row>
    <row r="10" spans="1:7" x14ac:dyDescent="0.2">
      <c r="C10" t="s">
        <v>86</v>
      </c>
    </row>
    <row r="11" spans="1:7" x14ac:dyDescent="0.2">
      <c r="C11" t="s">
        <v>87</v>
      </c>
    </row>
    <row r="12" spans="1:7" x14ac:dyDescent="0.2">
      <c r="C12" t="s">
        <v>88</v>
      </c>
    </row>
    <row r="13" spans="1:7" x14ac:dyDescent="0.2">
      <c r="C13" t="s">
        <v>89</v>
      </c>
    </row>
    <row r="14" spans="1:7" x14ac:dyDescent="0.2">
      <c r="C14" t="s">
        <v>90</v>
      </c>
    </row>
    <row r="15" spans="1:7" s="2" customFormat="1" x14ac:dyDescent="0.2">
      <c r="A15" s="2">
        <v>3</v>
      </c>
      <c r="B15" s="2" t="s">
        <v>93</v>
      </c>
      <c r="G15" s="2" t="s">
        <v>844</v>
      </c>
    </row>
    <row r="16" spans="1:7" x14ac:dyDescent="0.2">
      <c r="C16" t="s">
        <v>86</v>
      </c>
    </row>
    <row r="17" spans="1:19" x14ac:dyDescent="0.2">
      <c r="C17" t="s">
        <v>87</v>
      </c>
    </row>
    <row r="18" spans="1:19" x14ac:dyDescent="0.2">
      <c r="C18" t="s">
        <v>88</v>
      </c>
    </row>
    <row r="19" spans="1:19" x14ac:dyDescent="0.2">
      <c r="C19" t="s">
        <v>89</v>
      </c>
    </row>
    <row r="20" spans="1:19" s="2" customFormat="1" x14ac:dyDescent="0.2">
      <c r="A20" s="2">
        <v>4</v>
      </c>
      <c r="B20" s="2" t="s">
        <v>94</v>
      </c>
      <c r="G20" s="2" t="s">
        <v>845</v>
      </c>
    </row>
    <row r="21" spans="1:19" x14ac:dyDescent="0.2">
      <c r="C21" t="s">
        <v>86</v>
      </c>
    </row>
    <row r="22" spans="1:19" x14ac:dyDescent="0.2">
      <c r="C22" t="s">
        <v>87</v>
      </c>
    </row>
    <row r="23" spans="1:19" x14ac:dyDescent="0.2">
      <c r="C23" t="s">
        <v>88</v>
      </c>
    </row>
    <row r="24" spans="1:19" x14ac:dyDescent="0.2">
      <c r="C24" t="s">
        <v>89</v>
      </c>
    </row>
    <row r="25" spans="1:19" s="2" customFormat="1" x14ac:dyDescent="0.2">
      <c r="A25" s="2">
        <v>5</v>
      </c>
      <c r="B25" s="2" t="s">
        <v>95</v>
      </c>
      <c r="G25" s="2" t="s">
        <v>846</v>
      </c>
    </row>
    <row r="26" spans="1:19" s="3" customFormat="1" x14ac:dyDescent="0.2">
      <c r="C26" s="3" t="s">
        <v>86</v>
      </c>
    </row>
    <row r="27" spans="1:19" s="3" customFormat="1" x14ac:dyDescent="0.2">
      <c r="C27" s="3" t="s">
        <v>87</v>
      </c>
    </row>
    <row r="28" spans="1:19" s="3" customFormat="1" x14ac:dyDescent="0.2">
      <c r="C28" s="3" t="s">
        <v>88</v>
      </c>
      <c r="S28" s="3" t="s">
        <v>108</v>
      </c>
    </row>
    <row r="29" spans="1:19" s="3" customFormat="1" x14ac:dyDescent="0.2">
      <c r="C29" s="3" t="s">
        <v>89</v>
      </c>
    </row>
    <row r="30" spans="1:19" s="2" customFormat="1" x14ac:dyDescent="0.2">
      <c r="A30" s="2">
        <v>6</v>
      </c>
      <c r="B30" s="2" t="s">
        <v>96</v>
      </c>
      <c r="G30" s="2" t="s">
        <v>847</v>
      </c>
    </row>
    <row r="31" spans="1:19" x14ac:dyDescent="0.2">
      <c r="C31" t="s">
        <v>86</v>
      </c>
    </row>
    <row r="32" spans="1:19" x14ac:dyDescent="0.2">
      <c r="C32" t="s">
        <v>87</v>
      </c>
    </row>
    <row r="33" spans="1:7" x14ac:dyDescent="0.2">
      <c r="C33" t="s">
        <v>88</v>
      </c>
    </row>
    <row r="34" spans="1:7" x14ac:dyDescent="0.2">
      <c r="C34" t="s">
        <v>89</v>
      </c>
    </row>
    <row r="35" spans="1:7" s="2" customFormat="1" x14ac:dyDescent="0.2">
      <c r="A35" s="2">
        <v>7</v>
      </c>
      <c r="B35" s="2" t="s">
        <v>97</v>
      </c>
      <c r="G35" s="2" t="s">
        <v>848</v>
      </c>
    </row>
    <row r="36" spans="1:7" x14ac:dyDescent="0.2">
      <c r="C36" t="s">
        <v>86</v>
      </c>
    </row>
    <row r="37" spans="1:7" x14ac:dyDescent="0.2">
      <c r="C37" t="s">
        <v>87</v>
      </c>
    </row>
    <row r="38" spans="1:7" x14ac:dyDescent="0.2">
      <c r="C38" t="s">
        <v>88</v>
      </c>
    </row>
    <row r="39" spans="1:7" x14ac:dyDescent="0.2">
      <c r="C39" t="s">
        <v>89</v>
      </c>
    </row>
    <row r="40" spans="1:7" s="2" customFormat="1" x14ac:dyDescent="0.2">
      <c r="A40" s="2">
        <v>8</v>
      </c>
      <c r="B40" s="2" t="s">
        <v>98</v>
      </c>
      <c r="G40" s="2" t="s">
        <v>849</v>
      </c>
    </row>
    <row r="41" spans="1:7" s="3" customFormat="1" x14ac:dyDescent="0.2">
      <c r="C41" s="3" t="s">
        <v>86</v>
      </c>
    </row>
    <row r="42" spans="1:7" s="3" customFormat="1" x14ac:dyDescent="0.2">
      <c r="C42" s="3" t="s">
        <v>87</v>
      </c>
    </row>
    <row r="43" spans="1:7" s="3" customFormat="1" x14ac:dyDescent="0.2">
      <c r="C43" s="3" t="s">
        <v>88</v>
      </c>
    </row>
    <row r="44" spans="1:7" s="3" customFormat="1" x14ac:dyDescent="0.2">
      <c r="C44" s="3" t="s">
        <v>89</v>
      </c>
    </row>
    <row r="45" spans="1:7" s="2" customFormat="1" x14ac:dyDescent="0.2">
      <c r="A45" s="2">
        <v>9</v>
      </c>
      <c r="B45" s="2" t="s">
        <v>99</v>
      </c>
      <c r="G45" s="2" t="s">
        <v>850</v>
      </c>
    </row>
    <row r="46" spans="1:7" s="3" customFormat="1" x14ac:dyDescent="0.2">
      <c r="C46" s="3" t="s">
        <v>86</v>
      </c>
    </row>
    <row r="47" spans="1:7" s="3" customFormat="1" x14ac:dyDescent="0.2">
      <c r="C47" s="3" t="s">
        <v>87</v>
      </c>
    </row>
    <row r="48" spans="1:7" s="3" customFormat="1" x14ac:dyDescent="0.2">
      <c r="C48" s="3" t="s">
        <v>88</v>
      </c>
    </row>
    <row r="49" spans="1:7" s="3" customFormat="1" x14ac:dyDescent="0.2">
      <c r="C49" s="3" t="s">
        <v>89</v>
      </c>
    </row>
    <row r="50" spans="1:7" s="2" customFormat="1" x14ac:dyDescent="0.2">
      <c r="A50" s="2">
        <v>10</v>
      </c>
      <c r="B50" s="2" t="s">
        <v>100</v>
      </c>
      <c r="G50" s="2" t="s">
        <v>851</v>
      </c>
    </row>
    <row r="51" spans="1:7" s="3" customFormat="1" x14ac:dyDescent="0.2">
      <c r="C51" s="3" t="s">
        <v>86</v>
      </c>
    </row>
    <row r="52" spans="1:7" s="3" customFormat="1" x14ac:dyDescent="0.2">
      <c r="C52" s="3" t="s">
        <v>87</v>
      </c>
    </row>
    <row r="53" spans="1:7" s="3" customFormat="1" x14ac:dyDescent="0.2">
      <c r="C53" s="3" t="s">
        <v>88</v>
      </c>
    </row>
    <row r="54" spans="1:7" s="3" customFormat="1" x14ac:dyDescent="0.2">
      <c r="C54" s="3" t="s">
        <v>89</v>
      </c>
    </row>
    <row r="55" spans="1:7" s="2" customFormat="1" x14ac:dyDescent="0.2">
      <c r="A55" s="2">
        <v>11</v>
      </c>
      <c r="B55" s="2" t="s">
        <v>101</v>
      </c>
      <c r="G55" s="2" t="s">
        <v>852</v>
      </c>
    </row>
    <row r="56" spans="1:7" s="2" customFormat="1" x14ac:dyDescent="0.2">
      <c r="C56" s="3" t="s">
        <v>86</v>
      </c>
    </row>
    <row r="57" spans="1:7" s="2" customFormat="1" x14ac:dyDescent="0.2">
      <c r="C57" s="3" t="s">
        <v>87</v>
      </c>
      <c r="F57" s="3" t="s">
        <v>832</v>
      </c>
    </row>
    <row r="58" spans="1:7" s="2" customFormat="1" x14ac:dyDescent="0.2">
      <c r="C58" s="3" t="s">
        <v>88</v>
      </c>
      <c r="F58" s="3" t="s">
        <v>832</v>
      </c>
    </row>
    <row r="59" spans="1:7" s="2" customFormat="1" x14ac:dyDescent="0.2">
      <c r="C59" s="3" t="s">
        <v>89</v>
      </c>
    </row>
    <row r="60" spans="1:7" s="2" customFormat="1" x14ac:dyDescent="0.2">
      <c r="A60" s="2">
        <v>12</v>
      </c>
      <c r="B60" s="2" t="s">
        <v>102</v>
      </c>
      <c r="G60" s="2" t="s">
        <v>853</v>
      </c>
    </row>
    <row r="61" spans="1:7" s="3" customFormat="1" x14ac:dyDescent="0.2">
      <c r="C61" s="3" t="s">
        <v>86</v>
      </c>
    </row>
    <row r="62" spans="1:7" s="3" customFormat="1" x14ac:dyDescent="0.2">
      <c r="C62" s="3" t="s">
        <v>87</v>
      </c>
    </row>
    <row r="63" spans="1:7" s="3" customFormat="1" x14ac:dyDescent="0.2">
      <c r="C63" s="3" t="s">
        <v>88</v>
      </c>
    </row>
    <row r="64" spans="1:7" s="3" customFormat="1" x14ac:dyDescent="0.2">
      <c r="C64" s="3" t="s">
        <v>89</v>
      </c>
    </row>
    <row r="65" spans="1:19" s="2" customFormat="1" x14ac:dyDescent="0.2">
      <c r="A65" s="2">
        <v>13</v>
      </c>
      <c r="B65" s="2" t="s">
        <v>103</v>
      </c>
      <c r="G65" s="2" t="s">
        <v>854</v>
      </c>
    </row>
    <row r="66" spans="1:19" s="3" customFormat="1" x14ac:dyDescent="0.2">
      <c r="C66" s="3" t="s">
        <v>86</v>
      </c>
    </row>
    <row r="67" spans="1:19" s="3" customFormat="1" x14ac:dyDescent="0.2">
      <c r="C67" s="3" t="s">
        <v>87</v>
      </c>
    </row>
    <row r="68" spans="1:19" s="3" customFormat="1" x14ac:dyDescent="0.2">
      <c r="C68" s="3" t="s">
        <v>88</v>
      </c>
    </row>
    <row r="69" spans="1:19" s="3" customFormat="1" x14ac:dyDescent="0.2">
      <c r="C69" s="3" t="s">
        <v>89</v>
      </c>
    </row>
    <row r="70" spans="1:19" s="2" customFormat="1" x14ac:dyDescent="0.2">
      <c r="A70" s="2">
        <v>14</v>
      </c>
      <c r="B70" s="2" t="s">
        <v>104</v>
      </c>
      <c r="G70" s="2" t="s">
        <v>855</v>
      </c>
    </row>
    <row r="71" spans="1:19" s="3" customFormat="1" x14ac:dyDescent="0.2">
      <c r="C71" s="3" t="s">
        <v>86</v>
      </c>
    </row>
    <row r="72" spans="1:19" s="3" customFormat="1" x14ac:dyDescent="0.2">
      <c r="C72" s="3" t="s">
        <v>87</v>
      </c>
    </row>
    <row r="73" spans="1:19" s="3" customFormat="1" x14ac:dyDescent="0.2">
      <c r="C73" s="3" t="s">
        <v>88</v>
      </c>
    </row>
    <row r="74" spans="1:19" s="3" customFormat="1" x14ac:dyDescent="0.2">
      <c r="C74" s="3" t="s">
        <v>89</v>
      </c>
    </row>
    <row r="75" spans="1:19" s="2" customFormat="1" x14ac:dyDescent="0.2">
      <c r="A75" s="2">
        <v>15</v>
      </c>
      <c r="B75" s="2" t="s">
        <v>105</v>
      </c>
      <c r="G75" s="2" t="s">
        <v>856</v>
      </c>
    </row>
    <row r="76" spans="1:19" s="3" customFormat="1" x14ac:dyDescent="0.2">
      <c r="C76" s="3" t="s">
        <v>86</v>
      </c>
    </row>
    <row r="77" spans="1:19" s="3" customFormat="1" x14ac:dyDescent="0.2">
      <c r="C77" s="3" t="s">
        <v>87</v>
      </c>
    </row>
    <row r="78" spans="1:19" s="3" customFormat="1" x14ac:dyDescent="0.2">
      <c r="C78" s="3" t="s">
        <v>88</v>
      </c>
      <c r="S78" s="3" t="s">
        <v>108</v>
      </c>
    </row>
    <row r="79" spans="1:19" s="3" customFormat="1" x14ac:dyDescent="0.2">
      <c r="C79" s="3" t="s">
        <v>89</v>
      </c>
    </row>
    <row r="80" spans="1:19" s="2" customFormat="1" x14ac:dyDescent="0.2">
      <c r="A80" s="2">
        <v>16</v>
      </c>
      <c r="B80" s="2" t="s">
        <v>106</v>
      </c>
      <c r="G80" s="2" t="s">
        <v>857</v>
      </c>
    </row>
    <row r="81" spans="1:7" s="3" customFormat="1" x14ac:dyDescent="0.2">
      <c r="C81" s="3" t="s">
        <v>86</v>
      </c>
    </row>
    <row r="82" spans="1:7" s="3" customFormat="1" x14ac:dyDescent="0.2">
      <c r="C82" s="3" t="s">
        <v>87</v>
      </c>
    </row>
    <row r="83" spans="1:7" s="3" customFormat="1" x14ac:dyDescent="0.2">
      <c r="C83" s="3" t="s">
        <v>88</v>
      </c>
    </row>
    <row r="84" spans="1:7" s="3" customFormat="1" x14ac:dyDescent="0.2">
      <c r="C84" s="3" t="s">
        <v>89</v>
      </c>
    </row>
    <row r="85" spans="1:7" s="2" customFormat="1" x14ac:dyDescent="0.2">
      <c r="A85" s="2">
        <v>17</v>
      </c>
      <c r="B85" s="2" t="s">
        <v>107</v>
      </c>
      <c r="G85" s="2" t="s">
        <v>858</v>
      </c>
    </row>
    <row r="86" spans="1:7" x14ac:dyDescent="0.2">
      <c r="C86" s="3" t="s">
        <v>86</v>
      </c>
    </row>
    <row r="87" spans="1:7" x14ac:dyDescent="0.2">
      <c r="C87" s="3" t="s">
        <v>87</v>
      </c>
    </row>
    <row r="88" spans="1:7" x14ac:dyDescent="0.2">
      <c r="C88" s="3" t="s">
        <v>88</v>
      </c>
    </row>
    <row r="89" spans="1:7" x14ac:dyDescent="0.2">
      <c r="C89" s="3" t="s">
        <v>89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F544-179E-4AB7-9446-C6E5962C1ECA}">
  <dimension ref="A1:S201"/>
  <sheetViews>
    <sheetView showGridLines="0" zoomScale="85" zoomScaleNormal="85" workbookViewId="0">
      <pane xSplit="2" ySplit="4" topLeftCell="C51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 x14ac:dyDescent="0.2"/>
  <cols>
    <col min="1" max="1" width="5.5703125" style="2" bestFit="1" customWidth="1"/>
    <col min="2" max="2" width="41.140625" bestFit="1" customWidth="1"/>
    <col min="3" max="3" width="15.5703125" style="12" bestFit="1" customWidth="1"/>
    <col min="4" max="4" width="14.5703125" style="12" bestFit="1" customWidth="1"/>
    <col min="5" max="5" width="13" style="12" bestFit="1" customWidth="1"/>
    <col min="6" max="6" width="20" style="12" bestFit="1" customWidth="1"/>
    <col min="7" max="7" width="13.140625" style="12" bestFit="1" customWidth="1"/>
    <col min="8" max="12" width="14.7109375" style="12" bestFit="1" customWidth="1"/>
    <col min="13" max="13" width="13.140625" style="12" bestFit="1" customWidth="1"/>
    <col min="14" max="15" width="14.7109375" style="12" bestFit="1" customWidth="1"/>
    <col min="16" max="16" width="33.85546875" bestFit="1" customWidth="1"/>
    <col min="17" max="17" width="14.85546875" bestFit="1" customWidth="1"/>
    <col min="18" max="18" width="17" hidden="1" customWidth="1"/>
    <col min="19" max="19" width="35" hidden="1" customWidth="1"/>
  </cols>
  <sheetData>
    <row r="1" spans="1:19" s="7" customFormat="1" ht="15.75" x14ac:dyDescent="0.25">
      <c r="A1" s="5"/>
      <c r="B1" s="281" t="s">
        <v>261</v>
      </c>
      <c r="C1" s="283" t="s">
        <v>464</v>
      </c>
      <c r="D1" s="283" t="s">
        <v>119</v>
      </c>
      <c r="E1" s="281" t="s">
        <v>262</v>
      </c>
      <c r="F1" s="289">
        <v>53268953</v>
      </c>
      <c r="G1" s="283"/>
      <c r="H1" s="283"/>
      <c r="I1" s="283"/>
      <c r="J1" s="283"/>
      <c r="K1" s="283"/>
      <c r="L1" s="283"/>
      <c r="M1" s="283"/>
      <c r="N1" s="283"/>
      <c r="O1" s="283"/>
    </row>
    <row r="2" spans="1:19" x14ac:dyDescent="0.2">
      <c r="F2" s="19"/>
    </row>
    <row r="3" spans="1:19" s="15" customFormat="1" ht="25.5" x14ac:dyDescent="0.2">
      <c r="A3" s="13"/>
      <c r="B3" s="13" t="s">
        <v>120</v>
      </c>
      <c r="C3" s="14" t="s">
        <v>263</v>
      </c>
      <c r="D3" s="14" t="s">
        <v>173</v>
      </c>
      <c r="E3" s="14" t="s">
        <v>470</v>
      </c>
      <c r="F3" s="14" t="s">
        <v>191</v>
      </c>
      <c r="G3" s="14" t="s">
        <v>145</v>
      </c>
      <c r="H3" s="14" t="s">
        <v>237</v>
      </c>
      <c r="I3" s="14" t="s">
        <v>9</v>
      </c>
      <c r="J3" s="14" t="s">
        <v>205</v>
      </c>
      <c r="K3" s="14" t="s">
        <v>206</v>
      </c>
      <c r="L3" s="14" t="s">
        <v>188</v>
      </c>
      <c r="M3" s="14" t="s">
        <v>185</v>
      </c>
      <c r="N3" s="14" t="s">
        <v>471</v>
      </c>
      <c r="O3" s="14" t="s">
        <v>272</v>
      </c>
      <c r="P3" s="14" t="s">
        <v>273</v>
      </c>
      <c r="R3" s="15" t="s">
        <v>472</v>
      </c>
    </row>
    <row r="4" spans="1:19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290">
        <f>SUM(R5:R9)</f>
        <v>13243138</v>
      </c>
    </row>
    <row r="5" spans="1:19" s="291" customFormat="1" x14ac:dyDescent="0.2">
      <c r="B5" s="292" t="s">
        <v>274</v>
      </c>
      <c r="C5" s="923">
        <v>5736774</v>
      </c>
      <c r="D5" s="923">
        <v>4206966</v>
      </c>
      <c r="E5" s="924">
        <v>0</v>
      </c>
      <c r="F5" s="924">
        <v>0</v>
      </c>
      <c r="G5" s="924">
        <v>0</v>
      </c>
      <c r="H5" s="924">
        <v>0</v>
      </c>
      <c r="I5" s="924">
        <v>0</v>
      </c>
      <c r="J5" s="924">
        <v>0</v>
      </c>
      <c r="K5" s="924">
        <v>0</v>
      </c>
      <c r="L5" s="924">
        <v>0</v>
      </c>
      <c r="M5" s="924">
        <v>0</v>
      </c>
      <c r="N5" s="924">
        <v>0</v>
      </c>
      <c r="O5" s="924">
        <v>0</v>
      </c>
      <c r="P5" s="915" t="str">
        <f t="shared" ref="P5:P23" si="0">B5</f>
        <v>Property Taxes</v>
      </c>
      <c r="Q5" s="927">
        <f t="shared" ref="Q5:Q6" si="1">SUM(C5:O5)</f>
        <v>9943740</v>
      </c>
      <c r="R5" s="293">
        <f>Q5-D5</f>
        <v>5736774</v>
      </c>
      <c r="S5" s="37" t="s">
        <v>473</v>
      </c>
    </row>
    <row r="6" spans="1:19" s="291" customFormat="1" x14ac:dyDescent="0.2">
      <c r="B6" s="292" t="s">
        <v>474</v>
      </c>
      <c r="C6" s="923">
        <v>236366</v>
      </c>
      <c r="D6" s="923">
        <v>173335</v>
      </c>
      <c r="E6" s="924">
        <v>0</v>
      </c>
      <c r="F6" s="924">
        <v>0</v>
      </c>
      <c r="G6" s="924">
        <v>0</v>
      </c>
      <c r="H6" s="924">
        <v>0</v>
      </c>
      <c r="I6" s="924">
        <v>0</v>
      </c>
      <c r="J6" s="924">
        <v>0</v>
      </c>
      <c r="K6" s="924">
        <v>0</v>
      </c>
      <c r="L6" s="924">
        <v>0</v>
      </c>
      <c r="M6" s="924">
        <v>0</v>
      </c>
      <c r="N6" s="924">
        <v>0</v>
      </c>
      <c r="O6" s="924">
        <v>0</v>
      </c>
      <c r="P6" s="915" t="str">
        <f t="shared" si="0"/>
        <v>Net Proceeds from Mines</v>
      </c>
      <c r="Q6" s="927">
        <f t="shared" si="1"/>
        <v>409701</v>
      </c>
      <c r="R6" s="293">
        <f>Q6-D6</f>
        <v>236366</v>
      </c>
      <c r="S6" s="37" t="s">
        <v>473</v>
      </c>
    </row>
    <row r="7" spans="1:19" s="37" customFormat="1" x14ac:dyDescent="0.2">
      <c r="B7" s="37" t="s">
        <v>276</v>
      </c>
      <c r="C7" s="924">
        <v>6103768</v>
      </c>
      <c r="D7" s="924">
        <v>0</v>
      </c>
      <c r="E7" s="924">
        <v>0</v>
      </c>
      <c r="F7" s="924">
        <v>0</v>
      </c>
      <c r="G7" s="924">
        <v>0</v>
      </c>
      <c r="H7" s="924">
        <v>0</v>
      </c>
      <c r="I7" s="924">
        <v>0</v>
      </c>
      <c r="J7" s="924">
        <v>0</v>
      </c>
      <c r="K7" s="924">
        <v>0</v>
      </c>
      <c r="L7" s="924">
        <v>0</v>
      </c>
      <c r="M7" s="924">
        <v>0</v>
      </c>
      <c r="N7" s="924">
        <v>0</v>
      </c>
      <c r="O7" s="924">
        <v>0</v>
      </c>
      <c r="P7" s="915" t="str">
        <f t="shared" si="0"/>
        <v>School Support Taxes</v>
      </c>
      <c r="Q7" s="927">
        <f>SUM(C7:O7)</f>
        <v>6103768</v>
      </c>
      <c r="R7" s="38">
        <f>Q7</f>
        <v>6103768</v>
      </c>
      <c r="S7" s="37" t="s">
        <v>473</v>
      </c>
    </row>
    <row r="8" spans="1:19" s="37" customFormat="1" x14ac:dyDescent="0.2">
      <c r="B8" s="37" t="s">
        <v>277</v>
      </c>
      <c r="C8" s="924">
        <v>33000</v>
      </c>
      <c r="D8" s="924">
        <v>0</v>
      </c>
      <c r="E8" s="924">
        <v>0</v>
      </c>
      <c r="F8" s="924">
        <v>0</v>
      </c>
      <c r="G8" s="924">
        <v>0</v>
      </c>
      <c r="H8" s="924">
        <v>0</v>
      </c>
      <c r="I8" s="924">
        <v>0</v>
      </c>
      <c r="J8" s="924">
        <v>0</v>
      </c>
      <c r="K8" s="924">
        <v>0</v>
      </c>
      <c r="L8" s="924">
        <v>0</v>
      </c>
      <c r="M8" s="924">
        <v>0</v>
      </c>
      <c r="N8" s="924">
        <v>0</v>
      </c>
      <c r="O8" s="924">
        <v>0</v>
      </c>
      <c r="P8" s="915" t="str">
        <f t="shared" si="0"/>
        <v>Franchise Taxes</v>
      </c>
      <c r="Q8" s="927">
        <f t="shared" ref="Q8:Q23" si="2">SUM(C8:O8)</f>
        <v>33000</v>
      </c>
      <c r="R8" s="38">
        <f>Q8</f>
        <v>33000</v>
      </c>
      <c r="S8" s="37" t="s">
        <v>275</v>
      </c>
    </row>
    <row r="9" spans="1:19" s="37" customFormat="1" x14ac:dyDescent="0.2">
      <c r="B9" s="37" t="s">
        <v>278</v>
      </c>
      <c r="C9" s="924">
        <v>1133230</v>
      </c>
      <c r="D9" s="924">
        <v>0</v>
      </c>
      <c r="E9" s="924">
        <v>0</v>
      </c>
      <c r="F9" s="924">
        <v>0</v>
      </c>
      <c r="G9" s="924">
        <v>0</v>
      </c>
      <c r="H9" s="924">
        <v>0</v>
      </c>
      <c r="I9" s="924">
        <v>0</v>
      </c>
      <c r="J9" s="924">
        <v>0</v>
      </c>
      <c r="K9" s="924">
        <v>0</v>
      </c>
      <c r="L9" s="924">
        <v>415518</v>
      </c>
      <c r="M9" s="924">
        <v>0</v>
      </c>
      <c r="N9" s="924">
        <v>0</v>
      </c>
      <c r="O9" s="924">
        <v>0</v>
      </c>
      <c r="P9" s="915" t="str">
        <f t="shared" si="0"/>
        <v>Governmental Services Tax</v>
      </c>
      <c r="Q9" s="927">
        <f t="shared" si="2"/>
        <v>1548748</v>
      </c>
      <c r="R9" s="38">
        <f>Q9-D9-L9</f>
        <v>1133230</v>
      </c>
      <c r="S9" s="37" t="s">
        <v>279</v>
      </c>
    </row>
    <row r="10" spans="1:19" s="37" customFormat="1" x14ac:dyDescent="0.2">
      <c r="B10" s="37" t="s">
        <v>338</v>
      </c>
      <c r="C10" s="924">
        <v>4000</v>
      </c>
      <c r="D10" s="924">
        <v>0</v>
      </c>
      <c r="E10" s="924">
        <v>0</v>
      </c>
      <c r="F10" s="924">
        <v>0</v>
      </c>
      <c r="G10" s="924">
        <v>0</v>
      </c>
      <c r="H10" s="924">
        <v>0</v>
      </c>
      <c r="I10" s="924">
        <v>0</v>
      </c>
      <c r="J10" s="924">
        <v>0</v>
      </c>
      <c r="K10" s="924">
        <v>0</v>
      </c>
      <c r="L10" s="924">
        <v>0</v>
      </c>
      <c r="M10" s="924">
        <v>0</v>
      </c>
      <c r="N10" s="924">
        <v>0</v>
      </c>
      <c r="O10" s="924">
        <v>0</v>
      </c>
      <c r="P10" s="915" t="str">
        <f t="shared" si="0"/>
        <v>Other Taxes</v>
      </c>
      <c r="Q10" s="927">
        <f>SUM(C10:O10)</f>
        <v>4000</v>
      </c>
    </row>
    <row r="11" spans="1:19" s="37" customFormat="1" x14ac:dyDescent="0.2">
      <c r="B11" s="37" t="s">
        <v>281</v>
      </c>
      <c r="C11" s="924">
        <v>13000</v>
      </c>
      <c r="D11" s="924">
        <v>0</v>
      </c>
      <c r="E11" s="924">
        <v>0</v>
      </c>
      <c r="F11" s="924">
        <v>0</v>
      </c>
      <c r="G11" s="924">
        <v>0</v>
      </c>
      <c r="H11" s="924">
        <v>0</v>
      </c>
      <c r="I11" s="924">
        <v>0</v>
      </c>
      <c r="J11" s="924">
        <v>0</v>
      </c>
      <c r="K11" s="924">
        <v>0</v>
      </c>
      <c r="L11" s="924">
        <v>0</v>
      </c>
      <c r="M11" s="924">
        <v>0</v>
      </c>
      <c r="N11" s="924">
        <v>0</v>
      </c>
      <c r="O11" s="924">
        <v>0</v>
      </c>
      <c r="P11" s="915" t="str">
        <f t="shared" si="0"/>
        <v>Boat Registration</v>
      </c>
      <c r="Q11" s="927">
        <f t="shared" si="2"/>
        <v>13000</v>
      </c>
    </row>
    <row r="12" spans="1:19" s="37" customFormat="1" x14ac:dyDescent="0.2">
      <c r="B12" s="37" t="s">
        <v>227</v>
      </c>
      <c r="C12" s="924">
        <v>0</v>
      </c>
      <c r="D12" s="924">
        <v>0</v>
      </c>
      <c r="E12" s="924">
        <v>0</v>
      </c>
      <c r="F12" s="924">
        <v>0</v>
      </c>
      <c r="G12" s="924">
        <v>0</v>
      </c>
      <c r="H12" s="924">
        <v>0</v>
      </c>
      <c r="I12" s="924">
        <v>0</v>
      </c>
      <c r="J12" s="924">
        <v>0</v>
      </c>
      <c r="K12" s="924">
        <v>0</v>
      </c>
      <c r="L12" s="924">
        <v>55000</v>
      </c>
      <c r="M12" s="924">
        <v>0</v>
      </c>
      <c r="N12" s="924">
        <v>0</v>
      </c>
      <c r="O12" s="924">
        <v>0</v>
      </c>
      <c r="P12" s="915" t="str">
        <f t="shared" si="0"/>
        <v>Residential Construction Tax</v>
      </c>
      <c r="Q12" s="927">
        <f t="shared" si="2"/>
        <v>55000</v>
      </c>
    </row>
    <row r="13" spans="1:19" s="37" customFormat="1" x14ac:dyDescent="0.2">
      <c r="B13" s="37" t="s">
        <v>282</v>
      </c>
      <c r="C13" s="924">
        <v>48000</v>
      </c>
      <c r="D13" s="924">
        <v>0</v>
      </c>
      <c r="E13" s="924">
        <v>0</v>
      </c>
      <c r="F13" s="924">
        <v>0</v>
      </c>
      <c r="G13" s="924">
        <v>0</v>
      </c>
      <c r="H13" s="924">
        <v>0</v>
      </c>
      <c r="I13" s="924">
        <v>0</v>
      </c>
      <c r="J13" s="924">
        <v>0</v>
      </c>
      <c r="K13" s="924">
        <v>0</v>
      </c>
      <c r="L13" s="924">
        <v>0</v>
      </c>
      <c r="M13" s="924">
        <v>0</v>
      </c>
      <c r="N13" s="924">
        <v>0</v>
      </c>
      <c r="O13" s="924">
        <v>0</v>
      </c>
      <c r="P13" s="915" t="str">
        <f t="shared" si="0"/>
        <v>Tuition</v>
      </c>
      <c r="Q13" s="927">
        <f t="shared" si="2"/>
        <v>48000</v>
      </c>
    </row>
    <row r="14" spans="1:19" s="37" customFormat="1" hidden="1" x14ac:dyDescent="0.2">
      <c r="B14" s="37" t="s">
        <v>143</v>
      </c>
      <c r="C14" s="924">
        <v>0</v>
      </c>
      <c r="D14" s="924">
        <v>0</v>
      </c>
      <c r="E14" s="924">
        <v>0</v>
      </c>
      <c r="F14" s="924">
        <v>0</v>
      </c>
      <c r="G14" s="924">
        <v>0</v>
      </c>
      <c r="H14" s="924">
        <v>0</v>
      </c>
      <c r="I14" s="924">
        <v>0</v>
      </c>
      <c r="J14" s="924">
        <v>0</v>
      </c>
      <c r="K14" s="924">
        <v>0</v>
      </c>
      <c r="L14" s="924">
        <v>0</v>
      </c>
      <c r="M14" s="924">
        <v>0</v>
      </c>
      <c r="N14" s="924">
        <v>0</v>
      </c>
      <c r="O14" s="924">
        <v>0</v>
      </c>
      <c r="P14" s="915" t="str">
        <f t="shared" si="0"/>
        <v>Summer School</v>
      </c>
      <c r="Q14" s="927">
        <f t="shared" si="2"/>
        <v>0</v>
      </c>
    </row>
    <row r="15" spans="1:19" s="37" customFormat="1" x14ac:dyDescent="0.2">
      <c r="B15" s="37" t="s">
        <v>283</v>
      </c>
      <c r="C15" s="924">
        <v>245000</v>
      </c>
      <c r="D15" s="924">
        <v>0</v>
      </c>
      <c r="E15" s="924">
        <v>0</v>
      </c>
      <c r="F15" s="924">
        <v>0</v>
      </c>
      <c r="G15" s="924">
        <v>0</v>
      </c>
      <c r="H15" s="924">
        <v>0</v>
      </c>
      <c r="I15" s="924">
        <v>0</v>
      </c>
      <c r="J15" s="924">
        <v>0</v>
      </c>
      <c r="K15" s="924">
        <v>0</v>
      </c>
      <c r="L15" s="924">
        <v>0</v>
      </c>
      <c r="M15" s="924">
        <v>0</v>
      </c>
      <c r="N15" s="924">
        <v>0</v>
      </c>
      <c r="O15" s="924">
        <v>0</v>
      </c>
      <c r="P15" s="915" t="str">
        <f t="shared" si="0"/>
        <v>Transportation Fees</v>
      </c>
      <c r="Q15" s="927">
        <f t="shared" si="2"/>
        <v>245000</v>
      </c>
    </row>
    <row r="16" spans="1:19" s="37" customFormat="1" x14ac:dyDescent="0.2">
      <c r="B16" s="37" t="s">
        <v>284</v>
      </c>
      <c r="C16" s="924">
        <v>0</v>
      </c>
      <c r="D16" s="924">
        <v>115360</v>
      </c>
      <c r="E16" s="924">
        <v>4500</v>
      </c>
      <c r="F16" s="924">
        <v>0</v>
      </c>
      <c r="G16" s="924">
        <v>0</v>
      </c>
      <c r="H16" s="924">
        <v>0</v>
      </c>
      <c r="I16" s="924">
        <v>0</v>
      </c>
      <c r="J16" s="924">
        <v>0</v>
      </c>
      <c r="K16" s="924">
        <v>0</v>
      </c>
      <c r="L16" s="924">
        <v>32300</v>
      </c>
      <c r="M16" s="924">
        <v>6720</v>
      </c>
      <c r="N16" s="924">
        <v>18840</v>
      </c>
      <c r="O16" s="924">
        <v>0</v>
      </c>
      <c r="P16" s="915" t="str">
        <f t="shared" si="0"/>
        <v>Earnings on Investments</v>
      </c>
      <c r="Q16" s="927">
        <f t="shared" si="2"/>
        <v>177720</v>
      </c>
    </row>
    <row r="17" spans="1:17" s="37" customFormat="1" hidden="1" x14ac:dyDescent="0.2">
      <c r="B17" s="37" t="s">
        <v>285</v>
      </c>
      <c r="C17" s="924">
        <v>0</v>
      </c>
      <c r="D17" s="924">
        <v>0</v>
      </c>
      <c r="E17" s="924">
        <v>0</v>
      </c>
      <c r="F17" s="924">
        <v>0</v>
      </c>
      <c r="G17" s="924">
        <v>0</v>
      </c>
      <c r="H17" s="924">
        <v>0</v>
      </c>
      <c r="I17" s="924">
        <v>0</v>
      </c>
      <c r="J17" s="924">
        <v>0</v>
      </c>
      <c r="K17" s="924">
        <v>0</v>
      </c>
      <c r="L17" s="924">
        <v>0</v>
      </c>
      <c r="M17" s="924">
        <v>0</v>
      </c>
      <c r="N17" s="924">
        <v>0</v>
      </c>
      <c r="O17" s="924">
        <v>0</v>
      </c>
      <c r="P17" s="915" t="str">
        <f t="shared" si="0"/>
        <v>Direct Activities Revenue</v>
      </c>
      <c r="Q17" s="927">
        <f t="shared" si="2"/>
        <v>0</v>
      </c>
    </row>
    <row r="18" spans="1:17" s="37" customFormat="1" x14ac:dyDescent="0.2">
      <c r="B18" s="37" t="s">
        <v>286</v>
      </c>
      <c r="C18" s="924">
        <v>0</v>
      </c>
      <c r="D18" s="924">
        <v>0</v>
      </c>
      <c r="E18" s="924">
        <v>0</v>
      </c>
      <c r="F18" s="924">
        <v>0</v>
      </c>
      <c r="G18" s="924">
        <v>0</v>
      </c>
      <c r="H18" s="924">
        <v>0</v>
      </c>
      <c r="I18" s="924">
        <v>0</v>
      </c>
      <c r="J18" s="924">
        <v>0</v>
      </c>
      <c r="K18" s="924">
        <v>211850</v>
      </c>
      <c r="L18" s="924">
        <v>0</v>
      </c>
      <c r="M18" s="924">
        <v>0</v>
      </c>
      <c r="N18" s="924">
        <v>0</v>
      </c>
      <c r="O18" s="924">
        <v>0</v>
      </c>
      <c r="P18" s="915" t="str">
        <f t="shared" si="0"/>
        <v>Daily Sales - Food Services</v>
      </c>
      <c r="Q18" s="927">
        <f t="shared" si="2"/>
        <v>211850</v>
      </c>
    </row>
    <row r="19" spans="1:17" s="37" customFormat="1" x14ac:dyDescent="0.2">
      <c r="A19" s="37">
        <v>1900</v>
      </c>
      <c r="B19" s="37" t="s">
        <v>280</v>
      </c>
      <c r="C19" s="924">
        <v>1100</v>
      </c>
      <c r="D19" s="924">
        <v>0</v>
      </c>
      <c r="E19" s="924">
        <v>0</v>
      </c>
      <c r="F19" s="924">
        <v>0</v>
      </c>
      <c r="G19" s="924">
        <v>0</v>
      </c>
      <c r="H19" s="924">
        <v>175466</v>
      </c>
      <c r="I19" s="924">
        <v>0</v>
      </c>
      <c r="J19" s="924">
        <v>0</v>
      </c>
      <c r="K19" s="924">
        <v>0</v>
      </c>
      <c r="L19" s="924">
        <v>0</v>
      </c>
      <c r="M19" s="924">
        <v>55000</v>
      </c>
      <c r="N19" s="924">
        <v>457888</v>
      </c>
      <c r="O19" s="924">
        <v>0</v>
      </c>
      <c r="P19" s="915" t="str">
        <f t="shared" si="0"/>
        <v>Other Revenues</v>
      </c>
      <c r="Q19" s="927">
        <f t="shared" si="2"/>
        <v>689454</v>
      </c>
    </row>
    <row r="20" spans="1:17" s="37" customFormat="1" x14ac:dyDescent="0.2">
      <c r="B20" s="37" t="s">
        <v>287</v>
      </c>
      <c r="C20" s="924">
        <v>0</v>
      </c>
      <c r="D20" s="924">
        <v>0</v>
      </c>
      <c r="E20" s="924">
        <v>0</v>
      </c>
      <c r="F20" s="924">
        <v>0</v>
      </c>
      <c r="G20" s="924">
        <v>0</v>
      </c>
      <c r="H20" s="924">
        <v>0</v>
      </c>
      <c r="I20" s="924">
        <v>0</v>
      </c>
      <c r="J20" s="924">
        <v>0</v>
      </c>
      <c r="K20" s="924">
        <v>0</v>
      </c>
      <c r="L20" s="924">
        <v>0</v>
      </c>
      <c r="M20" s="924">
        <v>2500</v>
      </c>
      <c r="N20" s="924">
        <v>0</v>
      </c>
      <c r="O20" s="924">
        <v>0</v>
      </c>
      <c r="P20" s="915" t="str">
        <f t="shared" si="0"/>
        <v>Rentals</v>
      </c>
      <c r="Q20" s="927">
        <f t="shared" si="2"/>
        <v>2500</v>
      </c>
    </row>
    <row r="21" spans="1:17" s="37" customFormat="1" x14ac:dyDescent="0.2">
      <c r="B21" s="37" t="s">
        <v>288</v>
      </c>
      <c r="C21" s="924">
        <v>10000</v>
      </c>
      <c r="D21" s="924">
        <v>0</v>
      </c>
      <c r="E21" s="924">
        <v>0</v>
      </c>
      <c r="F21" s="924">
        <v>0</v>
      </c>
      <c r="G21" s="924">
        <v>0</v>
      </c>
      <c r="H21" s="924">
        <v>0</v>
      </c>
      <c r="I21" s="924">
        <v>0</v>
      </c>
      <c r="J21" s="924">
        <v>0</v>
      </c>
      <c r="K21" s="924">
        <v>0</v>
      </c>
      <c r="L21" s="924">
        <v>0</v>
      </c>
      <c r="M21" s="924">
        <v>0</v>
      </c>
      <c r="N21" s="924">
        <v>0</v>
      </c>
      <c r="O21" s="924">
        <v>0</v>
      </c>
      <c r="P21" s="915" t="str">
        <f t="shared" si="0"/>
        <v>Donations</v>
      </c>
      <c r="Q21" s="927">
        <f t="shared" si="2"/>
        <v>10000</v>
      </c>
    </row>
    <row r="22" spans="1:17" s="37" customFormat="1" x14ac:dyDescent="0.2">
      <c r="B22" s="37" t="s">
        <v>289</v>
      </c>
      <c r="C22" s="924">
        <v>14350</v>
      </c>
      <c r="D22" s="924">
        <v>0</v>
      </c>
      <c r="E22" s="924">
        <v>0</v>
      </c>
      <c r="F22" s="924">
        <v>0</v>
      </c>
      <c r="G22" s="924">
        <v>0</v>
      </c>
      <c r="H22" s="924">
        <v>0</v>
      </c>
      <c r="I22" s="924">
        <v>0</v>
      </c>
      <c r="J22" s="924">
        <v>0</v>
      </c>
      <c r="K22" s="924">
        <v>0</v>
      </c>
      <c r="L22" s="924">
        <v>0</v>
      </c>
      <c r="M22" s="924">
        <v>0</v>
      </c>
      <c r="N22" s="924">
        <v>0</v>
      </c>
      <c r="O22" s="924">
        <v>0</v>
      </c>
      <c r="P22" s="915" t="str">
        <f t="shared" si="0"/>
        <v>Miscellaneous</v>
      </c>
      <c r="Q22" s="927">
        <f t="shared" si="2"/>
        <v>14350</v>
      </c>
    </row>
    <row r="23" spans="1:17" s="37" customFormat="1" x14ac:dyDescent="0.2">
      <c r="B23" s="37" t="s">
        <v>290</v>
      </c>
      <c r="C23" s="924">
        <v>88600</v>
      </c>
      <c r="D23" s="924">
        <v>0</v>
      </c>
      <c r="E23" s="924">
        <v>0</v>
      </c>
      <c r="F23" s="924">
        <v>0</v>
      </c>
      <c r="G23" s="924">
        <v>0</v>
      </c>
      <c r="H23" s="924">
        <v>0</v>
      </c>
      <c r="I23" s="924">
        <v>0</v>
      </c>
      <c r="J23" s="924">
        <v>0</v>
      </c>
      <c r="K23" s="924">
        <v>0</v>
      </c>
      <c r="L23" s="924">
        <v>0</v>
      </c>
      <c r="M23" s="924">
        <v>0</v>
      </c>
      <c r="N23" s="924">
        <v>0</v>
      </c>
      <c r="O23" s="924">
        <v>0</v>
      </c>
      <c r="P23" s="915" t="str">
        <f t="shared" si="0"/>
        <v>Indirect Costs</v>
      </c>
      <c r="Q23" s="927">
        <f t="shared" si="2"/>
        <v>88600</v>
      </c>
    </row>
    <row r="24" spans="1:17" x14ac:dyDescent="0.2">
      <c r="B24" s="3"/>
      <c r="C24" s="925"/>
      <c r="D24" s="925"/>
      <c r="E24" s="925"/>
      <c r="F24" s="925"/>
      <c r="G24" s="925"/>
      <c r="H24" s="925"/>
      <c r="I24" s="925"/>
      <c r="J24" s="925"/>
      <c r="K24" s="925"/>
      <c r="L24" s="925"/>
      <c r="M24" s="925"/>
      <c r="N24" s="925"/>
      <c r="O24" s="925"/>
      <c r="P24" s="908"/>
      <c r="Q24" s="928"/>
    </row>
    <row r="25" spans="1:17" s="2" customFormat="1" x14ac:dyDescent="0.2">
      <c r="B25" s="39" t="s">
        <v>124</v>
      </c>
      <c r="C25" s="926">
        <f t="shared" ref="C25:O25" si="3">SUM(C4:C24)</f>
        <v>13667188</v>
      </c>
      <c r="D25" s="926">
        <f t="shared" si="3"/>
        <v>4495661</v>
      </c>
      <c r="E25" s="926">
        <f t="shared" si="3"/>
        <v>4500</v>
      </c>
      <c r="F25" s="926">
        <f t="shared" si="3"/>
        <v>0</v>
      </c>
      <c r="G25" s="926">
        <f t="shared" si="3"/>
        <v>0</v>
      </c>
      <c r="H25" s="926">
        <f t="shared" si="3"/>
        <v>175466</v>
      </c>
      <c r="I25" s="926">
        <f t="shared" si="3"/>
        <v>0</v>
      </c>
      <c r="J25" s="926">
        <f t="shared" si="3"/>
        <v>0</v>
      </c>
      <c r="K25" s="926">
        <f t="shared" si="3"/>
        <v>211850</v>
      </c>
      <c r="L25" s="926">
        <f t="shared" si="3"/>
        <v>502818</v>
      </c>
      <c r="M25" s="926">
        <f t="shared" si="3"/>
        <v>64220</v>
      </c>
      <c r="N25" s="926">
        <f t="shared" si="3"/>
        <v>476728</v>
      </c>
      <c r="O25" s="926">
        <f t="shared" si="3"/>
        <v>0</v>
      </c>
      <c r="P25" s="929">
        <f>SUM(C25:O25)</f>
        <v>19598431</v>
      </c>
      <c r="Q25" s="903"/>
    </row>
    <row r="26" spans="1:17" s="2" customFormat="1" x14ac:dyDescent="0.2">
      <c r="B26" s="39"/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  <c r="O26" s="926"/>
      <c r="P26" s="930"/>
      <c r="Q26" s="903"/>
    </row>
    <row r="27" spans="1:17" x14ac:dyDescent="0.2">
      <c r="B27" s="37" t="s">
        <v>291</v>
      </c>
      <c r="C27" s="925">
        <v>13433844</v>
      </c>
      <c r="D27" s="925">
        <v>0</v>
      </c>
      <c r="E27" s="925">
        <v>0</v>
      </c>
      <c r="F27" s="925">
        <v>892022</v>
      </c>
      <c r="G27" s="925">
        <v>125277</v>
      </c>
      <c r="H27" s="925">
        <v>0</v>
      </c>
      <c r="I27" s="925">
        <v>0</v>
      </c>
      <c r="J27" s="925">
        <v>0</v>
      </c>
      <c r="K27" s="925">
        <v>0</v>
      </c>
      <c r="L27" s="925">
        <v>0</v>
      </c>
      <c r="M27" s="925">
        <v>0</v>
      </c>
      <c r="N27" s="925">
        <v>0</v>
      </c>
      <c r="O27" s="925">
        <v>0</v>
      </c>
      <c r="P27" s="919" t="str">
        <f t="shared" ref="P27:P35" si="4">B27</f>
        <v>Distributive School Fund (DSA)</v>
      </c>
      <c r="Q27" s="919">
        <f t="shared" ref="Q27:Q35" si="5">SUM(C27:O27)</f>
        <v>14451143</v>
      </c>
    </row>
    <row r="28" spans="1:17" hidden="1" x14ac:dyDescent="0.2">
      <c r="B28" s="37" t="s">
        <v>292</v>
      </c>
      <c r="C28" s="925">
        <v>0</v>
      </c>
      <c r="D28" s="925">
        <v>0</v>
      </c>
      <c r="E28" s="925">
        <v>0</v>
      </c>
      <c r="F28" s="925">
        <v>0</v>
      </c>
      <c r="G28" s="925">
        <v>0</v>
      </c>
      <c r="H28" s="925">
        <v>0</v>
      </c>
      <c r="I28" s="925">
        <v>0</v>
      </c>
      <c r="J28" s="925">
        <v>0</v>
      </c>
      <c r="K28" s="925">
        <v>0</v>
      </c>
      <c r="L28" s="925">
        <v>0</v>
      </c>
      <c r="M28" s="925">
        <v>0</v>
      </c>
      <c r="N28" s="925">
        <v>0</v>
      </c>
      <c r="O28" s="925">
        <v>0</v>
      </c>
      <c r="P28" s="919" t="str">
        <f t="shared" si="4"/>
        <v>DSA Charter Reduction-Outside Revs</v>
      </c>
      <c r="Q28" s="919">
        <f t="shared" si="5"/>
        <v>0</v>
      </c>
    </row>
    <row r="29" spans="1:17" x14ac:dyDescent="0.2">
      <c r="B29" s="37" t="s">
        <v>293</v>
      </c>
      <c r="C29" s="925">
        <v>0</v>
      </c>
      <c r="D29" s="925">
        <v>0</v>
      </c>
      <c r="E29" s="925">
        <v>0</v>
      </c>
      <c r="F29" s="925">
        <v>0</v>
      </c>
      <c r="G29" s="925">
        <v>0</v>
      </c>
      <c r="H29" s="925">
        <v>0</v>
      </c>
      <c r="I29" s="925">
        <v>2695829</v>
      </c>
      <c r="J29" s="925">
        <v>0</v>
      </c>
      <c r="K29" s="925">
        <v>0</v>
      </c>
      <c r="L29" s="925">
        <v>0</v>
      </c>
      <c r="M29" s="925">
        <v>0</v>
      </c>
      <c r="N29" s="925">
        <v>0</v>
      </c>
      <c r="O29" s="925">
        <v>0</v>
      </c>
      <c r="P29" s="919" t="str">
        <f t="shared" si="4"/>
        <v>Special Education - DSA Funding</v>
      </c>
      <c r="Q29" s="919">
        <f t="shared" si="5"/>
        <v>2695829</v>
      </c>
    </row>
    <row r="30" spans="1:17" x14ac:dyDescent="0.2">
      <c r="B30" s="37" t="s">
        <v>475</v>
      </c>
      <c r="C30" s="925">
        <v>0</v>
      </c>
      <c r="D30" s="925">
        <v>0</v>
      </c>
      <c r="E30" s="925">
        <v>0</v>
      </c>
      <c r="F30" s="925">
        <v>0</v>
      </c>
      <c r="G30" s="925">
        <v>0</v>
      </c>
      <c r="H30" s="925">
        <v>50000</v>
      </c>
      <c r="I30" s="925">
        <v>0</v>
      </c>
      <c r="J30" s="925">
        <v>0</v>
      </c>
      <c r="K30" s="925">
        <v>0</v>
      </c>
      <c r="L30" s="925">
        <v>0</v>
      </c>
      <c r="M30" s="925">
        <v>0</v>
      </c>
      <c r="N30" s="925">
        <v>0</v>
      </c>
      <c r="O30" s="925">
        <v>0</v>
      </c>
      <c r="P30" s="919" t="str">
        <f t="shared" si="4"/>
        <v>Counseling - DSA Funding</v>
      </c>
      <c r="Q30" s="919">
        <f t="shared" si="5"/>
        <v>50000</v>
      </c>
    </row>
    <row r="31" spans="1:17" hidden="1" x14ac:dyDescent="0.2">
      <c r="B31" s="37" t="s">
        <v>294</v>
      </c>
      <c r="C31" s="925">
        <v>0</v>
      </c>
      <c r="D31" s="925">
        <v>0</v>
      </c>
      <c r="E31" s="925">
        <v>0</v>
      </c>
      <c r="F31" s="925">
        <v>0</v>
      </c>
      <c r="G31" s="925">
        <v>0</v>
      </c>
      <c r="H31" s="925">
        <v>0</v>
      </c>
      <c r="I31" s="925">
        <v>0</v>
      </c>
      <c r="J31" s="925">
        <v>0</v>
      </c>
      <c r="K31" s="925">
        <v>0</v>
      </c>
      <c r="L31" s="925">
        <v>0</v>
      </c>
      <c r="M31" s="925">
        <v>0</v>
      </c>
      <c r="N31" s="925">
        <v>0</v>
      </c>
      <c r="O31" s="925">
        <v>0</v>
      </c>
      <c r="P31" s="919" t="str">
        <f t="shared" si="4"/>
        <v>State Food Aid</v>
      </c>
      <c r="Q31" s="919">
        <f t="shared" si="5"/>
        <v>0</v>
      </c>
    </row>
    <row r="32" spans="1:17" x14ac:dyDescent="0.2">
      <c r="B32" s="37" t="s">
        <v>295</v>
      </c>
      <c r="C32" s="925">
        <v>0</v>
      </c>
      <c r="D32" s="925">
        <v>0</v>
      </c>
      <c r="E32" s="925">
        <v>0</v>
      </c>
      <c r="F32" s="925">
        <v>0</v>
      </c>
      <c r="G32" s="925">
        <v>0</v>
      </c>
      <c r="H32" s="925">
        <v>3410300</v>
      </c>
      <c r="I32" s="925">
        <v>0</v>
      </c>
      <c r="J32" s="925">
        <v>0</v>
      </c>
      <c r="K32" s="925">
        <v>3300</v>
      </c>
      <c r="L32" s="925">
        <v>0</v>
      </c>
      <c r="M32" s="925">
        <v>0</v>
      </c>
      <c r="N32" s="925">
        <v>0</v>
      </c>
      <c r="O32" s="925">
        <v>0</v>
      </c>
      <c r="P32" s="919" t="str">
        <f t="shared" si="4"/>
        <v>Restricted Funding/Grants-in-aid rev</v>
      </c>
      <c r="Q32" s="919">
        <f t="shared" si="5"/>
        <v>3413600</v>
      </c>
    </row>
    <row r="33" spans="1:17" hidden="1" x14ac:dyDescent="0.2">
      <c r="B33" s="37" t="s">
        <v>296</v>
      </c>
      <c r="C33" s="925">
        <v>0</v>
      </c>
      <c r="D33" s="925">
        <v>0</v>
      </c>
      <c r="E33" s="925">
        <v>0</v>
      </c>
      <c r="F33" s="925">
        <v>0</v>
      </c>
      <c r="G33" s="925">
        <v>0</v>
      </c>
      <c r="H33" s="925">
        <v>0</v>
      </c>
      <c r="I33" s="925">
        <v>0</v>
      </c>
      <c r="J33" s="925">
        <v>0</v>
      </c>
      <c r="K33" s="925">
        <v>0</v>
      </c>
      <c r="L33" s="925">
        <v>0</v>
      </c>
      <c r="M33" s="925">
        <v>0</v>
      </c>
      <c r="N33" s="925">
        <v>0</v>
      </c>
      <c r="O33" s="925">
        <v>0</v>
      </c>
      <c r="P33" s="919" t="str">
        <f t="shared" si="4"/>
        <v>Audult High School Diploma</v>
      </c>
      <c r="Q33" s="919">
        <f t="shared" si="5"/>
        <v>0</v>
      </c>
    </row>
    <row r="34" spans="1:17" hidden="1" x14ac:dyDescent="0.2">
      <c r="B34" s="37" t="s">
        <v>191</v>
      </c>
      <c r="C34" s="925">
        <v>0</v>
      </c>
      <c r="D34" s="925">
        <v>0</v>
      </c>
      <c r="E34" s="925">
        <v>0</v>
      </c>
      <c r="F34" s="925">
        <v>0</v>
      </c>
      <c r="G34" s="925">
        <v>0</v>
      </c>
      <c r="H34" s="925">
        <v>0</v>
      </c>
      <c r="I34" s="925">
        <v>0</v>
      </c>
      <c r="J34" s="925">
        <v>0</v>
      </c>
      <c r="K34" s="925">
        <v>0</v>
      </c>
      <c r="L34" s="925">
        <v>0</v>
      </c>
      <c r="M34" s="925">
        <v>0</v>
      </c>
      <c r="N34" s="925">
        <v>0</v>
      </c>
      <c r="O34" s="925">
        <v>0</v>
      </c>
      <c r="P34" s="919" t="str">
        <f t="shared" si="4"/>
        <v>Class Size Reduction</v>
      </c>
      <c r="Q34" s="919">
        <f t="shared" si="5"/>
        <v>0</v>
      </c>
    </row>
    <row r="35" spans="1:17" x14ac:dyDescent="0.2">
      <c r="B35" s="37" t="s">
        <v>386</v>
      </c>
      <c r="C35" s="925">
        <v>0</v>
      </c>
      <c r="D35" s="925">
        <v>0</v>
      </c>
      <c r="E35" s="925">
        <v>0</v>
      </c>
      <c r="F35" s="925">
        <v>0</v>
      </c>
      <c r="G35" s="925">
        <v>0</v>
      </c>
      <c r="H35" s="925">
        <v>0</v>
      </c>
      <c r="I35" s="925">
        <v>200000</v>
      </c>
      <c r="J35" s="925">
        <v>0</v>
      </c>
      <c r="K35" s="925">
        <v>0</v>
      </c>
      <c r="L35" s="925">
        <v>0</v>
      </c>
      <c r="M35" s="925">
        <v>0</v>
      </c>
      <c r="N35" s="925">
        <v>0</v>
      </c>
      <c r="O35" s="925">
        <v>0</v>
      </c>
      <c r="P35" s="919" t="str">
        <f t="shared" si="4"/>
        <v>For/on behalf of School District</v>
      </c>
      <c r="Q35" s="919">
        <f t="shared" si="5"/>
        <v>200000</v>
      </c>
    </row>
    <row r="36" spans="1:17" x14ac:dyDescent="0.2">
      <c r="C36" s="925"/>
      <c r="D36" s="925"/>
      <c r="E36" s="925"/>
      <c r="F36" s="925"/>
      <c r="G36" s="925"/>
      <c r="H36" s="925"/>
      <c r="I36" s="925"/>
      <c r="J36" s="925"/>
      <c r="K36" s="925"/>
      <c r="L36" s="925"/>
      <c r="M36" s="925"/>
      <c r="N36" s="925"/>
      <c r="O36" s="925"/>
      <c r="P36" s="922"/>
      <c r="Q36" s="908"/>
    </row>
    <row r="37" spans="1:17" s="2" customFormat="1" x14ac:dyDescent="0.2">
      <c r="B37" s="39" t="s">
        <v>125</v>
      </c>
      <c r="C37" s="926">
        <f t="shared" ref="C37:N37" si="6">SUM(C27:C36)</f>
        <v>13433844</v>
      </c>
      <c r="D37" s="926">
        <f t="shared" si="6"/>
        <v>0</v>
      </c>
      <c r="E37" s="926">
        <f t="shared" si="6"/>
        <v>0</v>
      </c>
      <c r="F37" s="926">
        <f t="shared" si="6"/>
        <v>892022</v>
      </c>
      <c r="G37" s="926">
        <f t="shared" si="6"/>
        <v>125277</v>
      </c>
      <c r="H37" s="926">
        <f t="shared" si="6"/>
        <v>3460300</v>
      </c>
      <c r="I37" s="926">
        <f>SUM(I27:I36)</f>
        <v>2895829</v>
      </c>
      <c r="J37" s="926">
        <f t="shared" si="6"/>
        <v>0</v>
      </c>
      <c r="K37" s="926">
        <f t="shared" si="6"/>
        <v>3300</v>
      </c>
      <c r="L37" s="926">
        <f t="shared" si="6"/>
        <v>0</v>
      </c>
      <c r="M37" s="926">
        <f t="shared" si="6"/>
        <v>0</v>
      </c>
      <c r="N37" s="926">
        <f t="shared" si="6"/>
        <v>0</v>
      </c>
      <c r="O37" s="926">
        <f>SUM(O27:O36)</f>
        <v>0</v>
      </c>
      <c r="P37" s="929">
        <f>SUM(C37:O37)</f>
        <v>20810572</v>
      </c>
      <c r="Q37" s="903"/>
    </row>
    <row r="38" spans="1:17" s="2" customFormat="1" x14ac:dyDescent="0.2">
      <c r="B38" s="39"/>
      <c r="C38" s="926"/>
      <c r="D38" s="926"/>
      <c r="E38" s="926"/>
      <c r="F38" s="926"/>
      <c r="G38" s="926"/>
      <c r="H38" s="926"/>
      <c r="I38" s="926"/>
      <c r="J38" s="926"/>
      <c r="K38" s="926"/>
      <c r="L38" s="926"/>
      <c r="M38" s="926"/>
      <c r="N38" s="926"/>
      <c r="O38" s="926"/>
      <c r="P38" s="930"/>
      <c r="Q38" s="903"/>
    </row>
    <row r="39" spans="1:17" s="37" customFormat="1" hidden="1" x14ac:dyDescent="0.2">
      <c r="A39" s="45"/>
      <c r="B39" s="37" t="s">
        <v>297</v>
      </c>
      <c r="C39" s="924">
        <v>0</v>
      </c>
      <c r="D39" s="924">
        <v>0</v>
      </c>
      <c r="E39" s="924">
        <v>0</v>
      </c>
      <c r="F39" s="924">
        <v>0</v>
      </c>
      <c r="G39" s="924">
        <v>0</v>
      </c>
      <c r="H39" s="924">
        <v>0</v>
      </c>
      <c r="I39" s="924">
        <v>0</v>
      </c>
      <c r="J39" s="924">
        <v>0</v>
      </c>
      <c r="K39" s="924">
        <v>0</v>
      </c>
      <c r="L39" s="924">
        <v>0</v>
      </c>
      <c r="M39" s="924">
        <v>0</v>
      </c>
      <c r="N39" s="924">
        <v>0</v>
      </c>
      <c r="O39" s="924">
        <v>0</v>
      </c>
      <c r="P39" s="921" t="str">
        <f>B39</f>
        <v>Medicaid SBCHS Reimbursement</v>
      </c>
      <c r="Q39" s="921">
        <f>SUM(C39:O39)</f>
        <v>0</v>
      </c>
    </row>
    <row r="40" spans="1:17" s="37" customFormat="1" x14ac:dyDescent="0.2">
      <c r="A40" s="45"/>
      <c r="B40" s="37" t="s">
        <v>299</v>
      </c>
      <c r="C40" s="924">
        <v>58000</v>
      </c>
      <c r="D40" s="924">
        <v>91370</v>
      </c>
      <c r="E40" s="924">
        <v>0</v>
      </c>
      <c r="F40" s="924">
        <v>0</v>
      </c>
      <c r="G40" s="924">
        <v>0</v>
      </c>
      <c r="H40" s="924">
        <v>0</v>
      </c>
      <c r="I40" s="924">
        <v>0</v>
      </c>
      <c r="J40" s="924">
        <v>0</v>
      </c>
      <c r="K40" s="924">
        <v>0</v>
      </c>
      <c r="L40" s="924">
        <v>0</v>
      </c>
      <c r="M40" s="924">
        <v>0</v>
      </c>
      <c r="N40" s="924">
        <v>0</v>
      </c>
      <c r="O40" s="924">
        <v>0</v>
      </c>
      <c r="P40" s="921" t="str">
        <f>B40</f>
        <v>Restricted - Direct</v>
      </c>
      <c r="Q40" s="921">
        <f>SUM(C40:O40)</f>
        <v>149370</v>
      </c>
    </row>
    <row r="41" spans="1:17" s="37" customFormat="1" x14ac:dyDescent="0.2">
      <c r="A41" s="45"/>
      <c r="B41" s="37" t="s">
        <v>298</v>
      </c>
      <c r="C41" s="924">
        <v>0</v>
      </c>
      <c r="D41" s="924">
        <v>0</v>
      </c>
      <c r="E41" s="924">
        <v>0</v>
      </c>
      <c r="F41" s="924">
        <v>0</v>
      </c>
      <c r="G41" s="924">
        <v>0</v>
      </c>
      <c r="H41" s="924">
        <v>0</v>
      </c>
      <c r="I41" s="924">
        <v>0</v>
      </c>
      <c r="J41" s="924">
        <v>2575668</v>
      </c>
      <c r="K41" s="924">
        <v>1011663</v>
      </c>
      <c r="L41" s="924">
        <v>0</v>
      </c>
      <c r="M41" s="924">
        <v>0</v>
      </c>
      <c r="N41" s="924">
        <v>0</v>
      </c>
      <c r="O41" s="924">
        <v>0</v>
      </c>
      <c r="P41" s="921" t="str">
        <f>B41</f>
        <v>Restricted - State Agency</v>
      </c>
      <c r="Q41" s="921">
        <f>SUM(C41:O41)</f>
        <v>3587331</v>
      </c>
    </row>
    <row r="42" spans="1:17" s="37" customFormat="1" x14ac:dyDescent="0.2">
      <c r="A42" s="45"/>
      <c r="B42" s="37" t="s">
        <v>476</v>
      </c>
      <c r="C42" s="924">
        <v>44950</v>
      </c>
      <c r="D42" s="924">
        <v>0</v>
      </c>
      <c r="E42" s="924">
        <v>0</v>
      </c>
      <c r="F42" s="924">
        <v>0</v>
      </c>
      <c r="G42" s="924">
        <v>0</v>
      </c>
      <c r="H42" s="924">
        <v>0</v>
      </c>
      <c r="I42" s="924">
        <v>0</v>
      </c>
      <c r="J42" s="924">
        <v>0</v>
      </c>
      <c r="K42" s="924">
        <v>0</v>
      </c>
      <c r="L42" s="924">
        <v>0</v>
      </c>
      <c r="M42" s="924">
        <v>0</v>
      </c>
      <c r="N42" s="924">
        <v>0</v>
      </c>
      <c r="O42" s="924">
        <v>0</v>
      </c>
      <c r="P42" s="921" t="str">
        <f>B42</f>
        <v>Restricted - Other Agency</v>
      </c>
      <c r="Q42" s="921">
        <f>SUM(C42:O42)</f>
        <v>44950</v>
      </c>
    </row>
    <row r="43" spans="1:17" s="37" customFormat="1" x14ac:dyDescent="0.2">
      <c r="A43" s="45"/>
      <c r="B43" s="37" t="s">
        <v>398</v>
      </c>
      <c r="C43" s="925">
        <v>378550</v>
      </c>
      <c r="D43" s="925">
        <v>0</v>
      </c>
      <c r="E43" s="925">
        <v>0</v>
      </c>
      <c r="F43" s="925">
        <v>0</v>
      </c>
      <c r="G43" s="925">
        <v>0</v>
      </c>
      <c r="H43" s="925">
        <v>0</v>
      </c>
      <c r="I43" s="925">
        <v>45930</v>
      </c>
      <c r="J43" s="925">
        <v>0</v>
      </c>
      <c r="K43" s="925">
        <v>0</v>
      </c>
      <c r="L43" s="925">
        <v>0</v>
      </c>
      <c r="M43" s="925">
        <v>0</v>
      </c>
      <c r="N43" s="925">
        <v>0</v>
      </c>
      <c r="O43" s="925">
        <v>0</v>
      </c>
      <c r="P43" s="921" t="str">
        <f>B43</f>
        <v>Revenue in Lieu of Taxes</v>
      </c>
      <c r="Q43" s="921">
        <f>SUM(C43:O43)</f>
        <v>424480</v>
      </c>
    </row>
    <row r="44" spans="1:17" x14ac:dyDescent="0.2">
      <c r="C44" s="925"/>
      <c r="D44" s="925"/>
      <c r="E44" s="925"/>
      <c r="F44" s="925"/>
      <c r="G44" s="925"/>
      <c r="H44" s="925"/>
      <c r="I44" s="925"/>
      <c r="J44" s="925"/>
      <c r="K44" s="925"/>
      <c r="L44" s="925"/>
      <c r="M44" s="925"/>
      <c r="N44" s="925"/>
      <c r="O44" s="925"/>
      <c r="P44" s="922"/>
      <c r="Q44" s="908"/>
    </row>
    <row r="45" spans="1:17" s="2" customFormat="1" x14ac:dyDescent="0.2">
      <c r="B45" s="39" t="s">
        <v>126</v>
      </c>
      <c r="C45" s="926">
        <f t="shared" ref="C45:O45" si="7">SUM(C38:C44)</f>
        <v>481500</v>
      </c>
      <c r="D45" s="926">
        <f t="shared" si="7"/>
        <v>91370</v>
      </c>
      <c r="E45" s="926">
        <f t="shared" si="7"/>
        <v>0</v>
      </c>
      <c r="F45" s="926">
        <f t="shared" si="7"/>
        <v>0</v>
      </c>
      <c r="G45" s="926">
        <f t="shared" si="7"/>
        <v>0</v>
      </c>
      <c r="H45" s="926">
        <f t="shared" si="7"/>
        <v>0</v>
      </c>
      <c r="I45" s="926">
        <f t="shared" si="7"/>
        <v>45930</v>
      </c>
      <c r="J45" s="926">
        <f t="shared" si="7"/>
        <v>2575668</v>
      </c>
      <c r="K45" s="926">
        <f t="shared" si="7"/>
        <v>1011663</v>
      </c>
      <c r="L45" s="926">
        <f t="shared" si="7"/>
        <v>0</v>
      </c>
      <c r="M45" s="926">
        <f t="shared" si="7"/>
        <v>0</v>
      </c>
      <c r="N45" s="926">
        <f t="shared" si="7"/>
        <v>0</v>
      </c>
      <c r="O45" s="926">
        <f t="shared" si="7"/>
        <v>0</v>
      </c>
      <c r="P45" s="929">
        <f>SUM(C45:O45)</f>
        <v>4206131</v>
      </c>
      <c r="Q45" s="903"/>
    </row>
    <row r="46" spans="1:17" s="2" customFormat="1" x14ac:dyDescent="0.2">
      <c r="B46" s="39"/>
      <c r="C46" s="926"/>
      <c r="D46" s="926"/>
      <c r="E46" s="926"/>
      <c r="F46" s="926"/>
      <c r="G46" s="926"/>
      <c r="H46" s="926"/>
      <c r="I46" s="926"/>
      <c r="J46" s="926"/>
      <c r="K46" s="926"/>
      <c r="L46" s="926"/>
      <c r="M46" s="926"/>
      <c r="N46" s="926"/>
      <c r="O46" s="926"/>
      <c r="P46" s="930"/>
      <c r="Q46" s="903"/>
    </row>
    <row r="47" spans="1:17" hidden="1" x14ac:dyDescent="0.2">
      <c r="B47" t="s">
        <v>300</v>
      </c>
      <c r="C47" s="925">
        <v>0</v>
      </c>
      <c r="D47" s="925">
        <v>0</v>
      </c>
      <c r="E47" s="925">
        <v>0</v>
      </c>
      <c r="F47" s="925">
        <v>0</v>
      </c>
      <c r="G47" s="925">
        <v>0</v>
      </c>
      <c r="H47" s="925">
        <v>0</v>
      </c>
      <c r="I47" s="925">
        <v>0</v>
      </c>
      <c r="J47" s="925">
        <v>0</v>
      </c>
      <c r="K47" s="925">
        <v>0</v>
      </c>
      <c r="L47" s="925">
        <v>0</v>
      </c>
      <c r="M47" s="925">
        <v>0</v>
      </c>
      <c r="N47" s="925">
        <v>0</v>
      </c>
      <c r="O47" s="925">
        <v>0</v>
      </c>
      <c r="P47" s="921" t="str">
        <f>B47</f>
        <v xml:space="preserve">Bond Principal </v>
      </c>
      <c r="Q47" s="921">
        <f>SUM(C47:O47)</f>
        <v>0</v>
      </c>
    </row>
    <row r="48" spans="1:17" s="37" customFormat="1" x14ac:dyDescent="0.2">
      <c r="A48" s="45"/>
      <c r="B48" s="37" t="s">
        <v>301</v>
      </c>
      <c r="C48" s="925">
        <v>0</v>
      </c>
      <c r="D48" s="925">
        <v>0</v>
      </c>
      <c r="E48" s="925">
        <v>0</v>
      </c>
      <c r="F48" s="925">
        <v>0</v>
      </c>
      <c r="G48" s="925">
        <v>0</v>
      </c>
      <c r="H48" s="925">
        <v>0</v>
      </c>
      <c r="I48" s="925">
        <v>1925000</v>
      </c>
      <c r="J48" s="925">
        <v>0</v>
      </c>
      <c r="K48" s="925">
        <v>100000</v>
      </c>
      <c r="L48" s="925">
        <v>1550000</v>
      </c>
      <c r="M48" s="925">
        <v>0</v>
      </c>
      <c r="N48" s="925">
        <v>0</v>
      </c>
      <c r="O48" s="925">
        <v>-3575000</v>
      </c>
      <c r="P48" s="921" t="str">
        <f>B48</f>
        <v>Transfers from Other Funds</v>
      </c>
      <c r="Q48" s="921">
        <f>SUM(C48:O48)</f>
        <v>0</v>
      </c>
    </row>
    <row r="49" spans="1:18" s="37" customFormat="1" x14ac:dyDescent="0.2">
      <c r="A49" s="45"/>
      <c r="B49" s="37" t="s">
        <v>302</v>
      </c>
      <c r="C49" s="925">
        <v>5000</v>
      </c>
      <c r="D49" s="925">
        <v>0</v>
      </c>
      <c r="E49" s="925">
        <v>0</v>
      </c>
      <c r="F49" s="925">
        <v>0</v>
      </c>
      <c r="G49" s="925">
        <v>0</v>
      </c>
      <c r="H49" s="925">
        <v>0</v>
      </c>
      <c r="I49" s="925">
        <v>0</v>
      </c>
      <c r="J49" s="925">
        <v>0</v>
      </c>
      <c r="K49" s="925">
        <v>0</v>
      </c>
      <c r="L49" s="925">
        <v>0</v>
      </c>
      <c r="M49" s="925">
        <v>0</v>
      </c>
      <c r="N49" s="925">
        <v>0</v>
      </c>
      <c r="O49" s="925">
        <v>0</v>
      </c>
      <c r="P49" s="921" t="str">
        <f>B49</f>
        <v xml:space="preserve">Gain/Loss Disposal of Assets </v>
      </c>
      <c r="Q49" s="921">
        <f>SUM(C49:O49)</f>
        <v>5000</v>
      </c>
    </row>
    <row r="50" spans="1:18" x14ac:dyDescent="0.2">
      <c r="C50" s="925"/>
      <c r="D50" s="925"/>
      <c r="E50" s="925"/>
      <c r="F50" s="925"/>
      <c r="G50" s="925"/>
      <c r="H50" s="925"/>
      <c r="I50" s="925"/>
      <c r="J50" s="925"/>
      <c r="K50" s="925"/>
      <c r="L50" s="925"/>
      <c r="M50" s="925"/>
      <c r="N50" s="925"/>
      <c r="O50" s="925"/>
      <c r="P50" s="922"/>
      <c r="Q50" s="908"/>
    </row>
    <row r="51" spans="1:18" s="2" customFormat="1" x14ac:dyDescent="0.2">
      <c r="B51" s="39" t="s">
        <v>127</v>
      </c>
      <c r="C51" s="926">
        <f t="shared" ref="C51:O51" si="8">SUM(C46:C50)</f>
        <v>5000</v>
      </c>
      <c r="D51" s="926">
        <f t="shared" si="8"/>
        <v>0</v>
      </c>
      <c r="E51" s="926">
        <f t="shared" si="8"/>
        <v>0</v>
      </c>
      <c r="F51" s="926">
        <f t="shared" si="8"/>
        <v>0</v>
      </c>
      <c r="G51" s="926">
        <f t="shared" si="8"/>
        <v>0</v>
      </c>
      <c r="H51" s="926">
        <f t="shared" si="8"/>
        <v>0</v>
      </c>
      <c r="I51" s="926">
        <f t="shared" si="8"/>
        <v>1925000</v>
      </c>
      <c r="J51" s="926">
        <f t="shared" si="8"/>
        <v>0</v>
      </c>
      <c r="K51" s="926">
        <f t="shared" si="8"/>
        <v>100000</v>
      </c>
      <c r="L51" s="926">
        <f t="shared" si="8"/>
        <v>1550000</v>
      </c>
      <c r="M51" s="926">
        <f t="shared" si="8"/>
        <v>0</v>
      </c>
      <c r="N51" s="926">
        <f t="shared" si="8"/>
        <v>0</v>
      </c>
      <c r="O51" s="926">
        <f t="shared" si="8"/>
        <v>-3575000</v>
      </c>
      <c r="P51" s="929">
        <f>SUM(C51:O51)</f>
        <v>5000</v>
      </c>
      <c r="Q51" s="903"/>
    </row>
    <row r="52" spans="1:18" x14ac:dyDescent="0.2">
      <c r="C52" s="925"/>
      <c r="D52" s="925"/>
      <c r="E52" s="925"/>
      <c r="F52" s="925"/>
      <c r="G52" s="925"/>
      <c r="H52" s="925"/>
      <c r="I52" s="925"/>
      <c r="J52" s="925"/>
      <c r="K52" s="925"/>
      <c r="L52" s="925"/>
      <c r="M52" s="925"/>
      <c r="N52" s="925"/>
      <c r="O52" s="925"/>
      <c r="P52" s="928"/>
      <c r="Q52" s="908"/>
    </row>
    <row r="53" spans="1:18" s="2" customFormat="1" x14ac:dyDescent="0.2">
      <c r="B53" s="18" t="s">
        <v>128</v>
      </c>
      <c r="C53" s="926">
        <f t="shared" ref="C53:O53" si="9">SUM(C51,C45,C37,C25)</f>
        <v>27587532</v>
      </c>
      <c r="D53" s="926">
        <f t="shared" si="9"/>
        <v>4587031</v>
      </c>
      <c r="E53" s="926">
        <f t="shared" si="9"/>
        <v>4500</v>
      </c>
      <c r="F53" s="926">
        <f t="shared" si="9"/>
        <v>892022</v>
      </c>
      <c r="G53" s="926">
        <f t="shared" si="9"/>
        <v>125277</v>
      </c>
      <c r="H53" s="926">
        <f t="shared" si="9"/>
        <v>3635766</v>
      </c>
      <c r="I53" s="926">
        <f t="shared" si="9"/>
        <v>4866759</v>
      </c>
      <c r="J53" s="926">
        <f t="shared" si="9"/>
        <v>2575668</v>
      </c>
      <c r="K53" s="926">
        <f t="shared" si="9"/>
        <v>1326813</v>
      </c>
      <c r="L53" s="926">
        <f t="shared" si="9"/>
        <v>2052818</v>
      </c>
      <c r="M53" s="926">
        <f t="shared" si="9"/>
        <v>64220</v>
      </c>
      <c r="N53" s="926">
        <f t="shared" si="9"/>
        <v>476728</v>
      </c>
      <c r="O53" s="926">
        <f t="shared" si="9"/>
        <v>-3575000</v>
      </c>
      <c r="P53" s="929">
        <f>SUM(P25:P52)</f>
        <v>44620134</v>
      </c>
      <c r="Q53" s="903"/>
    </row>
    <row r="54" spans="1:18" s="2" customFormat="1" x14ac:dyDescent="0.2">
      <c r="B54" s="18"/>
      <c r="C54" s="926"/>
      <c r="D54" s="926"/>
      <c r="E54" s="926"/>
      <c r="F54" s="926"/>
      <c r="G54" s="926"/>
      <c r="H54" s="926"/>
      <c r="I54" s="926"/>
      <c r="J54" s="926"/>
      <c r="K54" s="926"/>
      <c r="L54" s="926"/>
      <c r="M54" s="926"/>
      <c r="N54" s="926"/>
      <c r="O54" s="926"/>
      <c r="P54" s="930"/>
      <c r="Q54" s="903"/>
    </row>
    <row r="55" spans="1:18" s="37" customFormat="1" x14ac:dyDescent="0.2">
      <c r="A55" s="45"/>
      <c r="B55" s="37" t="s">
        <v>303</v>
      </c>
      <c r="C55" s="924">
        <v>248379</v>
      </c>
      <c r="D55" s="924">
        <v>0</v>
      </c>
      <c r="E55" s="924">
        <v>0</v>
      </c>
      <c r="F55" s="924">
        <v>0</v>
      </c>
      <c r="G55" s="924">
        <v>0</v>
      </c>
      <c r="H55" s="924">
        <v>0</v>
      </c>
      <c r="I55" s="924">
        <v>0</v>
      </c>
      <c r="J55" s="924">
        <v>0</v>
      </c>
      <c r="K55" s="924">
        <v>0</v>
      </c>
      <c r="L55" s="924">
        <v>0</v>
      </c>
      <c r="M55" s="924">
        <v>0</v>
      </c>
      <c r="N55" s="924">
        <v>0</v>
      </c>
      <c r="O55" s="924">
        <v>0</v>
      </c>
      <c r="P55" s="921" t="str">
        <f>B55</f>
        <v>Reserved Opening Balance</v>
      </c>
      <c r="Q55" s="921">
        <f>SUM(C55:O55)</f>
        <v>248379</v>
      </c>
    </row>
    <row r="56" spans="1:18" s="37" customFormat="1" x14ac:dyDescent="0.2">
      <c r="A56" s="45"/>
      <c r="B56" s="37" t="s">
        <v>304</v>
      </c>
      <c r="C56" s="924">
        <v>2118850</v>
      </c>
      <c r="D56" s="924">
        <v>3136734</v>
      </c>
      <c r="E56" s="924">
        <v>262781</v>
      </c>
      <c r="F56" s="924">
        <v>0</v>
      </c>
      <c r="G56" s="924">
        <v>0</v>
      </c>
      <c r="H56" s="924">
        <v>0</v>
      </c>
      <c r="I56" s="924">
        <v>113624</v>
      </c>
      <c r="J56" s="924">
        <v>0</v>
      </c>
      <c r="K56" s="924">
        <v>204016</v>
      </c>
      <c r="L56" s="924">
        <v>1612600</v>
      </c>
      <c r="M56" s="924">
        <v>294284</v>
      </c>
      <c r="N56" s="924">
        <v>657551</v>
      </c>
      <c r="O56" s="924">
        <v>0</v>
      </c>
      <c r="P56" s="921" t="str">
        <f>B56</f>
        <v>Opening Balance (Other)</v>
      </c>
      <c r="Q56" s="921">
        <f>SUM(C56:O56)</f>
        <v>8400440</v>
      </c>
    </row>
    <row r="57" spans="1:18" s="37" customFormat="1" x14ac:dyDescent="0.2">
      <c r="A57" s="45"/>
      <c r="B57" s="37" t="s">
        <v>305</v>
      </c>
      <c r="C57" s="924">
        <v>0</v>
      </c>
      <c r="D57" s="924">
        <v>0</v>
      </c>
      <c r="E57" s="924">
        <v>0</v>
      </c>
      <c r="F57" s="924">
        <v>0</v>
      </c>
      <c r="G57" s="924">
        <v>0</v>
      </c>
      <c r="H57" s="924">
        <v>0</v>
      </c>
      <c r="I57" s="924">
        <v>0</v>
      </c>
      <c r="J57" s="924">
        <v>0</v>
      </c>
      <c r="K57" s="924">
        <v>0</v>
      </c>
      <c r="L57" s="924">
        <v>0</v>
      </c>
      <c r="M57" s="924">
        <v>0</v>
      </c>
      <c r="N57" s="924">
        <v>0</v>
      </c>
      <c r="O57" s="924">
        <v>0</v>
      </c>
      <c r="P57" s="921" t="str">
        <f>B57</f>
        <v>Reverted to State</v>
      </c>
      <c r="Q57" s="921">
        <f>SUM(C57:O57)</f>
        <v>0</v>
      </c>
    </row>
    <row r="58" spans="1:18" x14ac:dyDescent="0.2">
      <c r="C58" s="925"/>
      <c r="D58" s="925"/>
      <c r="E58" s="925"/>
      <c r="F58" s="925"/>
      <c r="G58" s="925"/>
      <c r="H58" s="925"/>
      <c r="I58" s="925"/>
      <c r="J58" s="925"/>
      <c r="K58" s="925"/>
      <c r="L58" s="925"/>
      <c r="M58" s="925"/>
      <c r="N58" s="925"/>
      <c r="O58" s="925"/>
      <c r="P58" s="908"/>
      <c r="Q58" s="908"/>
    </row>
    <row r="59" spans="1:18" s="2" customFormat="1" x14ac:dyDescent="0.2">
      <c r="B59" s="39" t="s">
        <v>129</v>
      </c>
      <c r="C59" s="926">
        <f t="shared" ref="C59:N59" si="10">SUM(C54:C58)</f>
        <v>2367229</v>
      </c>
      <c r="D59" s="926">
        <f t="shared" si="10"/>
        <v>3136734</v>
      </c>
      <c r="E59" s="926">
        <f t="shared" si="10"/>
        <v>262781</v>
      </c>
      <c r="F59" s="926">
        <f t="shared" si="10"/>
        <v>0</v>
      </c>
      <c r="G59" s="926">
        <f t="shared" si="10"/>
        <v>0</v>
      </c>
      <c r="H59" s="926">
        <f t="shared" si="10"/>
        <v>0</v>
      </c>
      <c r="I59" s="926">
        <f t="shared" si="10"/>
        <v>113624</v>
      </c>
      <c r="J59" s="926">
        <f t="shared" si="10"/>
        <v>0</v>
      </c>
      <c r="K59" s="926">
        <f t="shared" si="10"/>
        <v>204016</v>
      </c>
      <c r="L59" s="926">
        <f t="shared" si="10"/>
        <v>1612600</v>
      </c>
      <c r="M59" s="926">
        <f t="shared" si="10"/>
        <v>294284</v>
      </c>
      <c r="N59" s="926">
        <f t="shared" si="10"/>
        <v>657551</v>
      </c>
      <c r="O59" s="926">
        <f>SUM(O54:O58)</f>
        <v>0</v>
      </c>
      <c r="P59" s="926">
        <f>SUM(C59:O59)</f>
        <v>8648819</v>
      </c>
      <c r="Q59" s="903"/>
    </row>
    <row r="60" spans="1:18" x14ac:dyDescent="0.2">
      <c r="C60" s="925"/>
      <c r="D60" s="925"/>
      <c r="E60" s="925"/>
      <c r="F60" s="925"/>
      <c r="G60" s="925"/>
      <c r="H60" s="925"/>
      <c r="I60" s="925"/>
      <c r="J60" s="925"/>
      <c r="K60" s="925"/>
      <c r="L60" s="925"/>
      <c r="M60" s="925"/>
      <c r="N60" s="925"/>
      <c r="O60" s="925"/>
      <c r="P60" s="295"/>
    </row>
    <row r="61" spans="1:18" x14ac:dyDescent="0.2">
      <c r="A61" s="22"/>
      <c r="B61" s="23" t="s">
        <v>306</v>
      </c>
      <c r="C61" s="296">
        <f>SUM(C59,C53)</f>
        <v>29954761</v>
      </c>
      <c r="D61" s="296">
        <f t="shared" ref="D61:O61" si="11">SUM(D59,D53)</f>
        <v>7723765</v>
      </c>
      <c r="E61" s="296">
        <f t="shared" si="11"/>
        <v>267281</v>
      </c>
      <c r="F61" s="296">
        <f t="shared" si="11"/>
        <v>892022</v>
      </c>
      <c r="G61" s="296">
        <f t="shared" si="11"/>
        <v>125277</v>
      </c>
      <c r="H61" s="296">
        <f t="shared" si="11"/>
        <v>3635766</v>
      </c>
      <c r="I61" s="296">
        <f t="shared" si="11"/>
        <v>4980383</v>
      </c>
      <c r="J61" s="296">
        <f t="shared" si="11"/>
        <v>2575668</v>
      </c>
      <c r="K61" s="296">
        <f t="shared" si="11"/>
        <v>1530829</v>
      </c>
      <c r="L61" s="296">
        <f t="shared" si="11"/>
        <v>3665418</v>
      </c>
      <c r="M61" s="296">
        <f t="shared" si="11"/>
        <v>358504</v>
      </c>
      <c r="N61" s="296">
        <f t="shared" si="11"/>
        <v>1134279</v>
      </c>
      <c r="O61" s="296">
        <f t="shared" si="11"/>
        <v>-3575000</v>
      </c>
      <c r="P61" s="297">
        <f>SUM(C61:O61)</f>
        <v>53268953</v>
      </c>
      <c r="Q61" s="284">
        <f>P61-F1</f>
        <v>0</v>
      </c>
      <c r="R61" s="17"/>
    </row>
    <row r="62" spans="1:18" s="2" customFormat="1" x14ac:dyDescent="0.2">
      <c r="A62" s="27"/>
      <c r="B62" s="28" t="s">
        <v>131</v>
      </c>
      <c r="C62" s="298">
        <f t="shared" ref="C62:O62" si="12">SUM(C66:C200)</f>
        <v>29954761</v>
      </c>
      <c r="D62" s="298">
        <f t="shared" si="12"/>
        <v>7723765</v>
      </c>
      <c r="E62" s="298">
        <f t="shared" si="12"/>
        <v>267281</v>
      </c>
      <c r="F62" s="298">
        <f t="shared" si="12"/>
        <v>892022</v>
      </c>
      <c r="G62" s="298">
        <f t="shared" si="12"/>
        <v>125277</v>
      </c>
      <c r="H62" s="298">
        <f t="shared" si="12"/>
        <v>3635766</v>
      </c>
      <c r="I62" s="298">
        <f t="shared" si="12"/>
        <v>4980383</v>
      </c>
      <c r="J62" s="298">
        <f t="shared" si="12"/>
        <v>2575668</v>
      </c>
      <c r="K62" s="298">
        <f t="shared" si="12"/>
        <v>1530829</v>
      </c>
      <c r="L62" s="298">
        <f t="shared" si="12"/>
        <v>3665418</v>
      </c>
      <c r="M62" s="298">
        <f t="shared" si="12"/>
        <v>358504</v>
      </c>
      <c r="N62" s="298">
        <f t="shared" si="12"/>
        <v>1134279</v>
      </c>
      <c r="O62" s="298">
        <f t="shared" si="12"/>
        <v>-3575000</v>
      </c>
      <c r="P62" s="299">
        <f>SUM(C62:O62)</f>
        <v>53268953</v>
      </c>
      <c r="Q62" s="300">
        <f>SUM(Q5:Q60)-P62</f>
        <v>0</v>
      </c>
    </row>
    <row r="63" spans="1:18" s="3" customFormat="1" x14ac:dyDescent="0.2">
      <c r="A63" s="30"/>
      <c r="B63" s="286" t="s">
        <v>132</v>
      </c>
      <c r="C63" s="301">
        <f t="shared" ref="C63:P63" si="13">C61-C62</f>
        <v>0</v>
      </c>
      <c r="D63" s="301">
        <f>D61-D62</f>
        <v>0</v>
      </c>
      <c r="E63" s="301">
        <f t="shared" si="13"/>
        <v>0</v>
      </c>
      <c r="F63" s="301">
        <f t="shared" si="13"/>
        <v>0</v>
      </c>
      <c r="G63" s="301">
        <f t="shared" si="13"/>
        <v>0</v>
      </c>
      <c r="H63" s="301">
        <f t="shared" si="13"/>
        <v>0</v>
      </c>
      <c r="I63" s="301">
        <f t="shared" si="13"/>
        <v>0</v>
      </c>
      <c r="J63" s="301">
        <f t="shared" si="13"/>
        <v>0</v>
      </c>
      <c r="K63" s="301">
        <f t="shared" si="13"/>
        <v>0</v>
      </c>
      <c r="L63" s="301">
        <f t="shared" si="13"/>
        <v>0</v>
      </c>
      <c r="M63" s="301">
        <f t="shared" si="13"/>
        <v>0</v>
      </c>
      <c r="N63" s="301">
        <f t="shared" si="13"/>
        <v>0</v>
      </c>
      <c r="O63" s="301">
        <f t="shared" si="13"/>
        <v>0</v>
      </c>
      <c r="P63" s="302">
        <f t="shared" si="13"/>
        <v>0</v>
      </c>
    </row>
    <row r="64" spans="1:18" x14ac:dyDescent="0.2"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5"/>
    </row>
    <row r="65" spans="1:16" x14ac:dyDescent="0.2">
      <c r="B65" s="2" t="s">
        <v>307</v>
      </c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5"/>
    </row>
    <row r="66" spans="1:16" x14ac:dyDescent="0.2">
      <c r="A66" s="2">
        <v>100</v>
      </c>
      <c r="B66" t="s">
        <v>134</v>
      </c>
      <c r="C66" s="925">
        <v>12542927</v>
      </c>
      <c r="D66" s="925"/>
      <c r="E66" s="925"/>
      <c r="F66" s="925">
        <v>892022</v>
      </c>
      <c r="G66" s="925"/>
      <c r="H66" s="925">
        <v>961974</v>
      </c>
      <c r="I66" s="925"/>
      <c r="J66" s="925">
        <v>290331</v>
      </c>
      <c r="K66" s="925"/>
      <c r="L66" s="925">
        <v>55106</v>
      </c>
      <c r="M66" s="925">
        <v>26380</v>
      </c>
      <c r="N66" s="925"/>
      <c r="O66" s="925"/>
      <c r="P66" s="925">
        <f t="shared" ref="P66:P80" si="14">SUM(C66:O66)</f>
        <v>14768740</v>
      </c>
    </row>
    <row r="67" spans="1:16" x14ac:dyDescent="0.2">
      <c r="A67" s="2">
        <v>200</v>
      </c>
      <c r="B67" t="s">
        <v>135</v>
      </c>
      <c r="C67" s="925"/>
      <c r="D67" s="925"/>
      <c r="E67" s="925"/>
      <c r="F67" s="925"/>
      <c r="G67" s="925"/>
      <c r="H67" s="925">
        <v>445020</v>
      </c>
      <c r="I67" s="925">
        <v>3497012</v>
      </c>
      <c r="J67" s="925">
        <v>841457</v>
      </c>
      <c r="K67" s="925"/>
      <c r="L67" s="925"/>
      <c r="M67" s="925"/>
      <c r="N67" s="925"/>
      <c r="O67" s="925"/>
      <c r="P67" s="925">
        <f t="shared" si="14"/>
        <v>4783489</v>
      </c>
    </row>
    <row r="68" spans="1:16" hidden="1" x14ac:dyDescent="0.2">
      <c r="A68" s="2" t="s">
        <v>10</v>
      </c>
      <c r="B68" t="s">
        <v>136</v>
      </c>
      <c r="C68" s="925"/>
      <c r="D68" s="925"/>
      <c r="E68" s="925"/>
      <c r="F68" s="925"/>
      <c r="G68" s="925"/>
      <c r="H68" s="925"/>
      <c r="I68" s="925"/>
      <c r="J68" s="925"/>
      <c r="K68" s="925"/>
      <c r="L68" s="925"/>
      <c r="M68" s="925"/>
      <c r="N68" s="925"/>
      <c r="O68" s="925"/>
      <c r="P68" s="925">
        <f t="shared" si="14"/>
        <v>0</v>
      </c>
    </row>
    <row r="69" spans="1:16" hidden="1" x14ac:dyDescent="0.2">
      <c r="A69" s="2">
        <v>270</v>
      </c>
      <c r="B69" t="s">
        <v>137</v>
      </c>
      <c r="C69" s="925"/>
      <c r="D69" s="925"/>
      <c r="E69" s="925"/>
      <c r="F69" s="925"/>
      <c r="G69" s="925"/>
      <c r="H69" s="925"/>
      <c r="I69" s="925"/>
      <c r="J69" s="925"/>
      <c r="K69" s="925"/>
      <c r="L69" s="925"/>
      <c r="M69" s="925"/>
      <c r="N69" s="925"/>
      <c r="O69" s="925"/>
      <c r="P69" s="925">
        <f t="shared" si="14"/>
        <v>0</v>
      </c>
    </row>
    <row r="70" spans="1:16" hidden="1" x14ac:dyDescent="0.2">
      <c r="A70" s="2" t="s">
        <v>10</v>
      </c>
      <c r="B70" t="s">
        <v>138</v>
      </c>
      <c r="C70" s="925"/>
      <c r="D70" s="925"/>
      <c r="E70" s="925"/>
      <c r="F70" s="925"/>
      <c r="G70" s="925"/>
      <c r="H70" s="925"/>
      <c r="I70" s="925"/>
      <c r="J70" s="925"/>
      <c r="K70" s="925"/>
      <c r="L70" s="925"/>
      <c r="M70" s="925"/>
      <c r="N70" s="925"/>
      <c r="O70" s="925"/>
      <c r="P70" s="925">
        <f t="shared" si="14"/>
        <v>0</v>
      </c>
    </row>
    <row r="71" spans="1:16" x14ac:dyDescent="0.2">
      <c r="A71" s="2">
        <v>300</v>
      </c>
      <c r="B71" t="s">
        <v>139</v>
      </c>
      <c r="C71" s="925">
        <v>645008</v>
      </c>
      <c r="D71" s="925"/>
      <c r="E71" s="925">
        <v>5000</v>
      </c>
      <c r="F71" s="925"/>
      <c r="G71" s="925"/>
      <c r="H71" s="925">
        <v>161471</v>
      </c>
      <c r="I71" s="925"/>
      <c r="J71" s="925">
        <v>110307</v>
      </c>
      <c r="K71" s="925"/>
      <c r="L71" s="925"/>
      <c r="M71" s="925"/>
      <c r="N71" s="925">
        <v>505200</v>
      </c>
      <c r="O71" s="925"/>
      <c r="P71" s="925">
        <f t="shared" si="14"/>
        <v>1426986</v>
      </c>
    </row>
    <row r="72" spans="1:16" x14ac:dyDescent="0.2">
      <c r="A72" s="2">
        <v>400</v>
      </c>
      <c r="B72" t="s">
        <v>140</v>
      </c>
      <c r="C72" s="925">
        <v>244011</v>
      </c>
      <c r="D72" s="925"/>
      <c r="E72" s="925"/>
      <c r="F72" s="925"/>
      <c r="G72" s="925"/>
      <c r="H72" s="925">
        <v>50100</v>
      </c>
      <c r="I72" s="925"/>
      <c r="J72" s="925">
        <v>116566</v>
      </c>
      <c r="K72" s="925"/>
      <c r="L72" s="925"/>
      <c r="M72" s="925"/>
      <c r="N72" s="925"/>
      <c r="O72" s="925"/>
      <c r="P72" s="925">
        <f t="shared" si="14"/>
        <v>410677</v>
      </c>
    </row>
    <row r="73" spans="1:16" hidden="1" x14ac:dyDescent="0.2">
      <c r="A73" s="2" t="s">
        <v>10</v>
      </c>
      <c r="B73" t="s">
        <v>141</v>
      </c>
      <c r="C73" s="925"/>
      <c r="D73" s="925"/>
      <c r="E73" s="925"/>
      <c r="F73" s="925"/>
      <c r="G73" s="925"/>
      <c r="H73" s="925"/>
      <c r="I73" s="925"/>
      <c r="J73" s="925"/>
      <c r="K73" s="925"/>
      <c r="L73" s="925"/>
      <c r="M73" s="925"/>
      <c r="N73" s="925"/>
      <c r="O73" s="925"/>
      <c r="P73" s="925">
        <f t="shared" si="14"/>
        <v>0</v>
      </c>
    </row>
    <row r="74" spans="1:16" hidden="1" x14ac:dyDescent="0.2">
      <c r="A74" s="2" t="s">
        <v>10</v>
      </c>
      <c r="B74" t="s">
        <v>142</v>
      </c>
      <c r="C74" s="925"/>
      <c r="D74" s="925"/>
      <c r="E74" s="925"/>
      <c r="F74" s="925"/>
      <c r="G74" s="925"/>
      <c r="H74" s="925"/>
      <c r="I74" s="925"/>
      <c r="J74" s="925"/>
      <c r="K74" s="925"/>
      <c r="L74" s="925"/>
      <c r="M74" s="925"/>
      <c r="N74" s="925"/>
      <c r="O74" s="925"/>
      <c r="P74" s="925">
        <f t="shared" si="14"/>
        <v>0</v>
      </c>
    </row>
    <row r="75" spans="1:16" x14ac:dyDescent="0.2">
      <c r="A75" s="2">
        <v>440</v>
      </c>
      <c r="B75" t="s">
        <v>143</v>
      </c>
      <c r="C75" s="925">
        <v>9060</v>
      </c>
      <c r="D75" s="925"/>
      <c r="E75" s="925"/>
      <c r="F75" s="925"/>
      <c r="G75" s="925"/>
      <c r="H75" s="925">
        <v>3600</v>
      </c>
      <c r="I75" s="925"/>
      <c r="J75" s="925">
        <v>27958</v>
      </c>
      <c r="K75" s="925"/>
      <c r="L75" s="925"/>
      <c r="M75" s="925"/>
      <c r="N75" s="925"/>
      <c r="O75" s="925"/>
      <c r="P75" s="925">
        <f t="shared" si="14"/>
        <v>40618</v>
      </c>
    </row>
    <row r="76" spans="1:16" hidden="1" x14ac:dyDescent="0.2">
      <c r="A76" s="2">
        <v>500</v>
      </c>
      <c r="B76" t="s">
        <v>144</v>
      </c>
      <c r="C76" s="925"/>
      <c r="D76" s="925"/>
      <c r="E76" s="925"/>
      <c r="F76" s="925"/>
      <c r="G76" s="925"/>
      <c r="H76" s="925"/>
      <c r="I76" s="925"/>
      <c r="J76" s="925"/>
      <c r="K76" s="925"/>
      <c r="L76" s="925"/>
      <c r="M76" s="925"/>
      <c r="N76" s="925"/>
      <c r="O76" s="925"/>
      <c r="P76" s="925">
        <f t="shared" si="14"/>
        <v>0</v>
      </c>
    </row>
    <row r="77" spans="1:16" x14ac:dyDescent="0.2">
      <c r="A77" s="2">
        <v>600</v>
      </c>
      <c r="B77" t="s">
        <v>145</v>
      </c>
      <c r="C77" s="925"/>
      <c r="D77" s="925"/>
      <c r="E77" s="925"/>
      <c r="F77" s="925"/>
      <c r="G77" s="925">
        <v>125277</v>
      </c>
      <c r="H77" s="925"/>
      <c r="I77" s="925"/>
      <c r="J77" s="925"/>
      <c r="K77" s="925"/>
      <c r="L77" s="925"/>
      <c r="M77" s="925"/>
      <c r="N77" s="925"/>
      <c r="O77" s="925"/>
      <c r="P77" s="925">
        <f t="shared" si="14"/>
        <v>125277</v>
      </c>
    </row>
    <row r="78" spans="1:16" x14ac:dyDescent="0.2">
      <c r="A78" s="2">
        <v>800</v>
      </c>
      <c r="B78" t="s">
        <v>146</v>
      </c>
      <c r="C78" s="925">
        <v>15184</v>
      </c>
      <c r="D78" s="925"/>
      <c r="E78" s="925"/>
      <c r="F78" s="925"/>
      <c r="G78" s="925"/>
      <c r="H78" s="925">
        <v>29990</v>
      </c>
      <c r="I78" s="925"/>
      <c r="J78" s="925">
        <v>80116</v>
      </c>
      <c r="K78" s="925"/>
      <c r="L78" s="925"/>
      <c r="M78" s="925"/>
      <c r="N78" s="925">
        <v>20000</v>
      </c>
      <c r="O78" s="925"/>
      <c r="P78" s="925">
        <f t="shared" si="14"/>
        <v>145290</v>
      </c>
    </row>
    <row r="79" spans="1:16" x14ac:dyDescent="0.2">
      <c r="A79" s="2">
        <v>910</v>
      </c>
      <c r="B79" t="s">
        <v>147</v>
      </c>
      <c r="C79" s="925">
        <v>82594</v>
      </c>
      <c r="D79" s="925"/>
      <c r="E79" s="925"/>
      <c r="F79" s="925"/>
      <c r="G79" s="925"/>
      <c r="H79" s="925"/>
      <c r="I79" s="925"/>
      <c r="J79" s="925"/>
      <c r="K79" s="925"/>
      <c r="L79" s="925"/>
      <c r="M79" s="925"/>
      <c r="N79" s="925"/>
      <c r="O79" s="925"/>
      <c r="P79" s="925">
        <f t="shared" si="14"/>
        <v>82594</v>
      </c>
    </row>
    <row r="80" spans="1:16" x14ac:dyDescent="0.2">
      <c r="A80" s="2">
        <v>920</v>
      </c>
      <c r="B80" t="s">
        <v>148</v>
      </c>
      <c r="C80" s="925">
        <v>521126</v>
      </c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>
        <f t="shared" si="14"/>
        <v>521126</v>
      </c>
    </row>
    <row r="81" spans="1:16" x14ac:dyDescent="0.2">
      <c r="C81" s="925"/>
      <c r="D81" s="925"/>
      <c r="E81" s="925"/>
      <c r="F81" s="925"/>
      <c r="G81" s="925"/>
      <c r="H81" s="925"/>
      <c r="I81" s="925"/>
      <c r="J81" s="925"/>
      <c r="K81" s="925"/>
      <c r="L81" s="925"/>
      <c r="M81" s="925"/>
      <c r="N81" s="925"/>
      <c r="O81" s="925"/>
      <c r="P81" s="925"/>
    </row>
    <row r="82" spans="1:16" x14ac:dyDescent="0.2">
      <c r="A82" s="2" t="s">
        <v>149</v>
      </c>
      <c r="B82" t="s">
        <v>150</v>
      </c>
      <c r="C82" s="925"/>
      <c r="D82" s="925"/>
      <c r="E82" s="925"/>
      <c r="F82" s="925"/>
      <c r="G82" s="925"/>
      <c r="H82" s="925"/>
      <c r="I82" s="925"/>
      <c r="J82" s="925"/>
      <c r="K82" s="925"/>
      <c r="L82" s="925"/>
      <c r="M82" s="925"/>
      <c r="N82" s="925"/>
      <c r="O82" s="925"/>
      <c r="P82" s="925"/>
    </row>
    <row r="83" spans="1:16" hidden="1" x14ac:dyDescent="0.2">
      <c r="A83" s="2" t="s">
        <v>443</v>
      </c>
      <c r="B83" t="s">
        <v>444</v>
      </c>
      <c r="C83" s="925"/>
      <c r="D83" s="925"/>
      <c r="E83" s="925"/>
      <c r="F83" s="925"/>
      <c r="G83" s="925"/>
      <c r="H83" s="925"/>
      <c r="I83" s="925"/>
      <c r="J83" s="925"/>
      <c r="K83" s="925"/>
      <c r="L83" s="925"/>
      <c r="M83" s="925"/>
      <c r="N83" s="925"/>
      <c r="O83" s="925"/>
      <c r="P83" s="925">
        <f t="shared" ref="P83:P110" si="15">SUM(C83:O83)</f>
        <v>0</v>
      </c>
    </row>
    <row r="84" spans="1:16" x14ac:dyDescent="0.2">
      <c r="A84" s="2">
        <v>2100</v>
      </c>
      <c r="B84" t="s">
        <v>151</v>
      </c>
      <c r="C84" s="925">
        <v>878754</v>
      </c>
      <c r="D84" s="925"/>
      <c r="E84" s="925"/>
      <c r="F84" s="925"/>
      <c r="G84" s="925"/>
      <c r="H84" s="925">
        <v>203498</v>
      </c>
      <c r="I84" s="925">
        <v>1361236</v>
      </c>
      <c r="J84" s="925">
        <v>224246</v>
      </c>
      <c r="K84" s="925"/>
      <c r="L84" s="925"/>
      <c r="M84" s="925"/>
      <c r="N84" s="925"/>
      <c r="O84" s="925"/>
      <c r="P84" s="925">
        <f t="shared" si="15"/>
        <v>2667734</v>
      </c>
    </row>
    <row r="85" spans="1:16" x14ac:dyDescent="0.2">
      <c r="A85" s="2">
        <v>2200</v>
      </c>
      <c r="B85" t="s">
        <v>152</v>
      </c>
      <c r="C85" s="925">
        <v>635984</v>
      </c>
      <c r="D85" s="925"/>
      <c r="E85" s="925"/>
      <c r="F85" s="925"/>
      <c r="G85" s="925"/>
      <c r="H85" s="925">
        <v>645455</v>
      </c>
      <c r="I85" s="925">
        <v>15500</v>
      </c>
      <c r="J85" s="925">
        <v>721294</v>
      </c>
      <c r="K85" s="925"/>
      <c r="L85" s="925"/>
      <c r="M85" s="925"/>
      <c r="N85" s="925"/>
      <c r="O85" s="925"/>
      <c r="P85" s="925">
        <f t="shared" si="15"/>
        <v>2018233</v>
      </c>
    </row>
    <row r="86" spans="1:16" x14ac:dyDescent="0.2">
      <c r="A86" s="22">
        <v>2300</v>
      </c>
      <c r="B86" s="303" t="s">
        <v>153</v>
      </c>
      <c r="C86" s="925">
        <v>738522</v>
      </c>
      <c r="D86" s="925"/>
      <c r="E86" s="925"/>
      <c r="F86" s="925"/>
      <c r="G86" s="925"/>
      <c r="H86" s="925">
        <v>21834</v>
      </c>
      <c r="I86" s="925"/>
      <c r="J86" s="925">
        <v>215</v>
      </c>
      <c r="K86" s="925"/>
      <c r="L86" s="925"/>
      <c r="M86" s="925"/>
      <c r="N86" s="925"/>
      <c r="O86" s="925"/>
      <c r="P86" s="925">
        <f t="shared" si="15"/>
        <v>760571</v>
      </c>
    </row>
    <row r="87" spans="1:16" x14ac:dyDescent="0.2">
      <c r="A87" s="30">
        <v>2400</v>
      </c>
      <c r="B87" s="304" t="s">
        <v>154</v>
      </c>
      <c r="C87" s="925">
        <v>2108969</v>
      </c>
      <c r="D87" s="925"/>
      <c r="E87" s="925"/>
      <c r="F87" s="925"/>
      <c r="G87" s="925"/>
      <c r="H87" s="925">
        <v>19131</v>
      </c>
      <c r="I87" s="925"/>
      <c r="J87" s="925"/>
      <c r="K87" s="925"/>
      <c r="L87" s="925"/>
      <c r="M87" s="925"/>
      <c r="N87" s="925"/>
      <c r="O87" s="925"/>
      <c r="P87" s="925">
        <f t="shared" si="15"/>
        <v>2128100</v>
      </c>
    </row>
    <row r="88" spans="1:16" x14ac:dyDescent="0.2">
      <c r="A88" s="2">
        <v>2500</v>
      </c>
      <c r="B88" t="s">
        <v>155</v>
      </c>
      <c r="C88" s="925">
        <v>2129800</v>
      </c>
      <c r="D88" s="925"/>
      <c r="E88" s="925"/>
      <c r="F88" s="925"/>
      <c r="G88" s="925"/>
      <c r="H88" s="925">
        <v>41365</v>
      </c>
      <c r="I88" s="925"/>
      <c r="J88" s="925">
        <v>163178</v>
      </c>
      <c r="K88" s="925"/>
      <c r="L88" s="925">
        <v>129558</v>
      </c>
      <c r="M88" s="925"/>
      <c r="N88" s="925"/>
      <c r="O88" s="925"/>
      <c r="P88" s="925">
        <f t="shared" si="15"/>
        <v>2463901</v>
      </c>
    </row>
    <row r="89" spans="1:16" x14ac:dyDescent="0.2">
      <c r="A89" s="2">
        <v>2600</v>
      </c>
      <c r="B89" t="s">
        <v>156</v>
      </c>
      <c r="C89" s="925">
        <v>3886780</v>
      </c>
      <c r="D89" s="925"/>
      <c r="E89" s="925"/>
      <c r="F89" s="925"/>
      <c r="G89" s="925"/>
      <c r="H89" s="925">
        <v>858928</v>
      </c>
      <c r="I89" s="925">
        <v>2085</v>
      </c>
      <c r="J89" s="925"/>
      <c r="K89" s="925"/>
      <c r="L89" s="925">
        <v>613144</v>
      </c>
      <c r="M89" s="925">
        <v>80370</v>
      </c>
      <c r="N89" s="925"/>
      <c r="O89" s="925"/>
      <c r="P89" s="925">
        <f t="shared" si="15"/>
        <v>5441307</v>
      </c>
    </row>
    <row r="90" spans="1:16" x14ac:dyDescent="0.2">
      <c r="A90" s="2">
        <v>2700</v>
      </c>
      <c r="B90" t="s">
        <v>157</v>
      </c>
      <c r="C90" s="925">
        <v>1434317</v>
      </c>
      <c r="D90" s="925"/>
      <c r="E90" s="925"/>
      <c r="F90" s="925"/>
      <c r="G90" s="925"/>
      <c r="H90" s="925">
        <v>12000</v>
      </c>
      <c r="I90" s="925"/>
      <c r="J90" s="925"/>
      <c r="K90" s="925"/>
      <c r="L90" s="925">
        <v>99931</v>
      </c>
      <c r="M90" s="925"/>
      <c r="N90" s="925"/>
      <c r="O90" s="925"/>
      <c r="P90" s="925">
        <f t="shared" si="15"/>
        <v>1546248</v>
      </c>
    </row>
    <row r="91" spans="1:16" hidden="1" x14ac:dyDescent="0.2">
      <c r="A91" s="2">
        <v>2900</v>
      </c>
      <c r="B91" t="s">
        <v>158</v>
      </c>
      <c r="C91" s="925"/>
      <c r="D91" s="925"/>
      <c r="E91" s="925"/>
      <c r="F91" s="925"/>
      <c r="G91" s="925"/>
      <c r="H91" s="925"/>
      <c r="I91" s="925"/>
      <c r="J91" s="925"/>
      <c r="K91" s="925"/>
      <c r="L91" s="925"/>
      <c r="M91" s="925"/>
      <c r="N91" s="925"/>
      <c r="O91" s="925"/>
      <c r="P91" s="925">
        <f t="shared" si="15"/>
        <v>0</v>
      </c>
    </row>
    <row r="92" spans="1:16" hidden="1" x14ac:dyDescent="0.2">
      <c r="A92" s="2">
        <v>3000</v>
      </c>
      <c r="B92" t="s">
        <v>159</v>
      </c>
      <c r="C92" s="925"/>
      <c r="D92" s="925"/>
      <c r="E92" s="925"/>
      <c r="F92" s="925"/>
      <c r="G92" s="925"/>
      <c r="H92" s="925"/>
      <c r="I92" s="925"/>
      <c r="J92" s="925"/>
      <c r="K92" s="925"/>
      <c r="L92" s="925"/>
      <c r="M92" s="925"/>
      <c r="N92" s="925"/>
      <c r="O92" s="925"/>
      <c r="P92" s="925">
        <f t="shared" si="15"/>
        <v>0</v>
      </c>
    </row>
    <row r="93" spans="1:16" x14ac:dyDescent="0.2">
      <c r="A93" s="2">
        <v>3100</v>
      </c>
      <c r="B93" t="s">
        <v>160</v>
      </c>
      <c r="C93" s="925"/>
      <c r="D93" s="925"/>
      <c r="E93" s="925"/>
      <c r="F93" s="925"/>
      <c r="G93" s="925"/>
      <c r="H93" s="925"/>
      <c r="I93" s="925"/>
      <c r="J93" s="925"/>
      <c r="K93" s="925">
        <v>1427324</v>
      </c>
      <c r="L93" s="925"/>
      <c r="M93" s="925"/>
      <c r="N93" s="925"/>
      <c r="O93" s="925"/>
      <c r="P93" s="925">
        <f t="shared" si="15"/>
        <v>1427324</v>
      </c>
    </row>
    <row r="94" spans="1:16" hidden="1" x14ac:dyDescent="0.2">
      <c r="A94" s="2">
        <v>3200</v>
      </c>
      <c r="B94" t="s">
        <v>161</v>
      </c>
      <c r="C94" s="925"/>
      <c r="D94" s="925"/>
      <c r="E94" s="925"/>
      <c r="F94" s="925"/>
      <c r="G94" s="925"/>
      <c r="H94" s="925"/>
      <c r="I94" s="925"/>
      <c r="J94" s="925"/>
      <c r="K94" s="925"/>
      <c r="L94" s="925"/>
      <c r="M94" s="925"/>
      <c r="N94" s="925"/>
      <c r="O94" s="925"/>
      <c r="P94" s="925">
        <f t="shared" si="15"/>
        <v>0</v>
      </c>
    </row>
    <row r="95" spans="1:16" hidden="1" x14ac:dyDescent="0.2">
      <c r="A95" s="2">
        <v>3300</v>
      </c>
      <c r="B95" t="s">
        <v>162</v>
      </c>
      <c r="C95" s="925"/>
      <c r="D95" s="925"/>
      <c r="E95" s="925"/>
      <c r="F95" s="925"/>
      <c r="G95" s="925"/>
      <c r="H95" s="925"/>
      <c r="I95" s="925"/>
      <c r="J95" s="925"/>
      <c r="K95" s="925"/>
      <c r="L95" s="925"/>
      <c r="M95" s="925"/>
      <c r="N95" s="925"/>
      <c r="O95" s="925"/>
      <c r="P95" s="925">
        <f t="shared" si="15"/>
        <v>0</v>
      </c>
    </row>
    <row r="96" spans="1:16" hidden="1" x14ac:dyDescent="0.2">
      <c r="A96" s="2">
        <v>4100</v>
      </c>
      <c r="B96" t="s">
        <v>163</v>
      </c>
      <c r="C96" s="925"/>
      <c r="D96" s="925"/>
      <c r="E96" s="925"/>
      <c r="F96" s="925"/>
      <c r="G96" s="925"/>
      <c r="H96" s="925"/>
      <c r="I96" s="925"/>
      <c r="J96" s="925"/>
      <c r="K96" s="925"/>
      <c r="L96" s="925"/>
      <c r="M96" s="925"/>
      <c r="N96" s="925"/>
      <c r="O96" s="925"/>
      <c r="P96" s="925">
        <f t="shared" si="15"/>
        <v>0</v>
      </c>
    </row>
    <row r="97" spans="1:16" hidden="1" x14ac:dyDescent="0.2">
      <c r="A97" s="2">
        <v>4000</v>
      </c>
      <c r="B97" t="s">
        <v>164</v>
      </c>
      <c r="C97" s="925"/>
      <c r="D97" s="925"/>
      <c r="E97" s="925"/>
      <c r="F97" s="925"/>
      <c r="G97" s="925"/>
      <c r="H97" s="925"/>
      <c r="I97" s="925"/>
      <c r="J97" s="925"/>
      <c r="K97" s="925"/>
      <c r="L97" s="925"/>
      <c r="M97" s="925"/>
      <c r="N97" s="925"/>
      <c r="O97" s="925"/>
      <c r="P97" s="925">
        <f t="shared" si="15"/>
        <v>0</v>
      </c>
    </row>
    <row r="98" spans="1:16" hidden="1" x14ac:dyDescent="0.2">
      <c r="A98" s="2">
        <v>4200</v>
      </c>
      <c r="B98" t="s">
        <v>165</v>
      </c>
      <c r="C98" s="925"/>
      <c r="D98" s="925"/>
      <c r="E98" s="925"/>
      <c r="F98" s="925"/>
      <c r="G98" s="925"/>
      <c r="H98" s="925"/>
      <c r="I98" s="925"/>
      <c r="J98" s="925"/>
      <c r="K98" s="925"/>
      <c r="L98" s="925"/>
      <c r="M98" s="925"/>
      <c r="N98" s="925"/>
      <c r="O98" s="925"/>
      <c r="P98" s="925">
        <f t="shared" si="15"/>
        <v>0</v>
      </c>
    </row>
    <row r="99" spans="1:16" hidden="1" x14ac:dyDescent="0.2">
      <c r="A99" s="2">
        <v>4300</v>
      </c>
      <c r="B99" t="s">
        <v>166</v>
      </c>
      <c r="C99" s="925"/>
      <c r="D99" s="925"/>
      <c r="E99" s="925"/>
      <c r="F99" s="925"/>
      <c r="G99" s="925"/>
      <c r="H99" s="925"/>
      <c r="I99" s="925"/>
      <c r="J99" s="925"/>
      <c r="K99" s="925"/>
      <c r="L99" s="925"/>
      <c r="M99" s="925"/>
      <c r="N99" s="925"/>
      <c r="O99" s="925"/>
      <c r="P99" s="925">
        <f t="shared" si="15"/>
        <v>0</v>
      </c>
    </row>
    <row r="100" spans="1:16" hidden="1" x14ac:dyDescent="0.2">
      <c r="A100" s="2">
        <v>4400</v>
      </c>
      <c r="B100" t="s">
        <v>167</v>
      </c>
      <c r="C100" s="925"/>
      <c r="D100" s="925"/>
      <c r="E100" s="925"/>
      <c r="F100" s="925"/>
      <c r="G100" s="925"/>
      <c r="H100" s="925"/>
      <c r="I100" s="925"/>
      <c r="J100" s="925"/>
      <c r="K100" s="925"/>
      <c r="L100" s="925"/>
      <c r="M100" s="925"/>
      <c r="N100" s="925"/>
      <c r="O100" s="925"/>
      <c r="P100" s="925">
        <f t="shared" si="15"/>
        <v>0</v>
      </c>
    </row>
    <row r="101" spans="1:16" hidden="1" x14ac:dyDescent="0.2">
      <c r="A101" s="2">
        <v>4500</v>
      </c>
      <c r="B101" t="s">
        <v>168</v>
      </c>
      <c r="C101" s="925"/>
      <c r="D101" s="925"/>
      <c r="E101" s="925"/>
      <c r="F101" s="925"/>
      <c r="G101" s="925"/>
      <c r="H101" s="925"/>
      <c r="I101" s="925"/>
      <c r="J101" s="925"/>
      <c r="K101" s="925"/>
      <c r="L101" s="925"/>
      <c r="M101" s="925"/>
      <c r="N101" s="925"/>
      <c r="O101" s="925"/>
      <c r="P101" s="925">
        <f t="shared" si="15"/>
        <v>0</v>
      </c>
    </row>
    <row r="102" spans="1:16" x14ac:dyDescent="0.2">
      <c r="A102" s="2">
        <v>4600</v>
      </c>
      <c r="B102" t="s">
        <v>169</v>
      </c>
      <c r="C102" s="925"/>
      <c r="D102" s="925"/>
      <c r="E102" s="925"/>
      <c r="F102" s="925"/>
      <c r="G102" s="925"/>
      <c r="H102" s="925">
        <v>181400</v>
      </c>
      <c r="I102" s="925"/>
      <c r="J102" s="925"/>
      <c r="K102" s="925"/>
      <c r="L102" s="925"/>
      <c r="M102" s="925"/>
      <c r="N102" s="925"/>
      <c r="O102" s="925"/>
      <c r="P102" s="925">
        <f t="shared" si="15"/>
        <v>181400</v>
      </c>
    </row>
    <row r="103" spans="1:16" x14ac:dyDescent="0.2">
      <c r="A103" s="2">
        <v>4700</v>
      </c>
      <c r="B103" t="s">
        <v>170</v>
      </c>
      <c r="C103" s="925"/>
      <c r="D103" s="925"/>
      <c r="E103" s="925"/>
      <c r="F103" s="925"/>
      <c r="G103" s="925"/>
      <c r="H103" s="925"/>
      <c r="I103" s="925"/>
      <c r="J103" s="925"/>
      <c r="K103" s="925"/>
      <c r="L103" s="925">
        <v>839011</v>
      </c>
      <c r="M103" s="925"/>
      <c r="N103" s="925"/>
      <c r="O103" s="925"/>
      <c r="P103" s="925">
        <f t="shared" si="15"/>
        <v>839011</v>
      </c>
    </row>
    <row r="104" spans="1:16" hidden="1" x14ac:dyDescent="0.2">
      <c r="A104" s="2">
        <v>4900</v>
      </c>
      <c r="B104" t="s">
        <v>171</v>
      </c>
      <c r="C104" s="925"/>
      <c r="D104" s="925"/>
      <c r="E104" s="925"/>
      <c r="F104" s="925"/>
      <c r="G104" s="925"/>
      <c r="H104" s="925"/>
      <c r="I104" s="925"/>
      <c r="J104" s="925"/>
      <c r="K104" s="925"/>
      <c r="L104" s="925"/>
      <c r="M104" s="925"/>
      <c r="N104" s="925"/>
      <c r="O104" s="925"/>
      <c r="P104" s="925">
        <f t="shared" si="15"/>
        <v>0</v>
      </c>
    </row>
    <row r="105" spans="1:16" x14ac:dyDescent="0.2">
      <c r="A105" s="2">
        <v>5000</v>
      </c>
      <c r="B105" t="s">
        <v>172</v>
      </c>
      <c r="C105" s="925"/>
      <c r="D105" s="925">
        <v>0</v>
      </c>
      <c r="E105" s="925"/>
      <c r="F105" s="925"/>
      <c r="G105" s="925"/>
      <c r="H105" s="925"/>
      <c r="I105" s="925"/>
      <c r="J105" s="925"/>
      <c r="K105" s="925">
        <v>17000</v>
      </c>
      <c r="L105" s="925">
        <v>213778</v>
      </c>
      <c r="M105" s="925"/>
      <c r="N105" s="925"/>
      <c r="O105" s="925"/>
      <c r="P105" s="925">
        <f t="shared" si="15"/>
        <v>230778</v>
      </c>
    </row>
    <row r="106" spans="1:16" x14ac:dyDescent="0.2">
      <c r="A106" s="2">
        <v>5000</v>
      </c>
      <c r="B106" t="s">
        <v>173</v>
      </c>
      <c r="C106" s="925"/>
      <c r="D106" s="925">
        <v>4675120</v>
      </c>
      <c r="E106" s="925"/>
      <c r="F106" s="925"/>
      <c r="G106" s="925"/>
      <c r="H106" s="925"/>
      <c r="I106" s="925"/>
      <c r="J106" s="925"/>
      <c r="K106" s="925"/>
      <c r="L106" s="925">
        <v>0</v>
      </c>
      <c r="M106" s="925"/>
      <c r="N106" s="925"/>
      <c r="O106" s="925"/>
      <c r="P106" s="925">
        <f t="shared" si="15"/>
        <v>4675120</v>
      </c>
    </row>
    <row r="107" spans="1:16" hidden="1" x14ac:dyDescent="0.2">
      <c r="A107" s="2">
        <v>6100</v>
      </c>
      <c r="B107" t="s">
        <v>174</v>
      </c>
      <c r="C107" s="925"/>
      <c r="D107" s="925"/>
      <c r="E107" s="925"/>
      <c r="F107" s="925"/>
      <c r="G107" s="925"/>
      <c r="H107" s="925"/>
      <c r="I107" s="925"/>
      <c r="J107" s="925"/>
      <c r="K107" s="925"/>
      <c r="L107" s="925"/>
      <c r="M107" s="925"/>
      <c r="N107" s="925"/>
      <c r="O107" s="925"/>
      <c r="P107" s="925">
        <f t="shared" si="15"/>
        <v>0</v>
      </c>
    </row>
    <row r="108" spans="1:16" x14ac:dyDescent="0.2">
      <c r="A108" s="2">
        <v>6200</v>
      </c>
      <c r="B108" t="s">
        <v>175</v>
      </c>
      <c r="C108" s="925">
        <v>2025000</v>
      </c>
      <c r="D108" s="925"/>
      <c r="E108" s="925"/>
      <c r="F108" s="925"/>
      <c r="G108" s="925"/>
      <c r="H108" s="925"/>
      <c r="I108" s="925"/>
      <c r="J108" s="925"/>
      <c r="K108" s="925"/>
      <c r="L108" s="925"/>
      <c r="M108" s="925"/>
      <c r="N108" s="925"/>
      <c r="O108" s="925"/>
      <c r="P108" s="925">
        <f t="shared" si="15"/>
        <v>2025000</v>
      </c>
    </row>
    <row r="109" spans="1:16" x14ac:dyDescent="0.2">
      <c r="A109" s="2">
        <v>6300</v>
      </c>
      <c r="B109" t="s">
        <v>176</v>
      </c>
      <c r="C109" s="925">
        <v>775000</v>
      </c>
      <c r="D109" s="925"/>
      <c r="E109" s="925"/>
      <c r="F109" s="925"/>
      <c r="G109" s="925"/>
      <c r="H109" s="925"/>
      <c r="I109" s="925"/>
      <c r="J109" s="925"/>
      <c r="K109" s="925"/>
      <c r="L109" s="925"/>
      <c r="M109" s="925"/>
      <c r="N109" s="925"/>
      <c r="O109" s="925"/>
      <c r="P109" s="925">
        <f t="shared" si="15"/>
        <v>775000</v>
      </c>
    </row>
    <row r="110" spans="1:16" x14ac:dyDescent="0.2">
      <c r="A110" s="2">
        <v>8000</v>
      </c>
      <c r="B110" t="s">
        <v>177</v>
      </c>
      <c r="C110" s="925">
        <v>1281725</v>
      </c>
      <c r="D110" s="925">
        <v>3048645</v>
      </c>
      <c r="E110" s="925">
        <v>262281</v>
      </c>
      <c r="F110" s="925"/>
      <c r="G110" s="925"/>
      <c r="H110" s="925"/>
      <c r="I110" s="925">
        <v>104550</v>
      </c>
      <c r="J110" s="925"/>
      <c r="K110" s="925">
        <v>86505</v>
      </c>
      <c r="L110" s="925">
        <v>1714890</v>
      </c>
      <c r="M110" s="925">
        <v>251754</v>
      </c>
      <c r="N110" s="925">
        <v>609079</v>
      </c>
      <c r="O110" s="925"/>
      <c r="P110" s="925">
        <f t="shared" si="15"/>
        <v>7359429</v>
      </c>
    </row>
    <row r="111" spans="1:16" x14ac:dyDescent="0.2">
      <c r="C111" s="925"/>
      <c r="D111" s="925"/>
      <c r="E111" s="925"/>
      <c r="F111" s="925"/>
      <c r="G111" s="925"/>
      <c r="H111" s="925"/>
      <c r="I111" s="925"/>
      <c r="J111" s="925"/>
      <c r="K111" s="925"/>
      <c r="L111" s="925"/>
      <c r="M111" s="925"/>
      <c r="N111" s="925"/>
      <c r="O111" s="925"/>
      <c r="P111" s="925"/>
    </row>
    <row r="112" spans="1:16" x14ac:dyDescent="0.2">
      <c r="A112" s="53"/>
      <c r="B112" s="2" t="s">
        <v>469</v>
      </c>
      <c r="C112" s="925"/>
      <c r="D112" s="925"/>
      <c r="E112" s="925"/>
      <c r="F112" s="925"/>
      <c r="G112" s="925"/>
      <c r="H112" s="925"/>
      <c r="I112" s="925"/>
      <c r="J112" s="925"/>
      <c r="K112" s="925"/>
      <c r="L112" s="925"/>
      <c r="M112" s="925"/>
      <c r="N112" s="925"/>
      <c r="O112" s="925"/>
      <c r="P112" s="925"/>
    </row>
    <row r="113" spans="2:16" hidden="1" x14ac:dyDescent="0.2">
      <c r="B113" t="s">
        <v>179</v>
      </c>
      <c r="C113" s="925"/>
      <c r="D113" s="925"/>
      <c r="E113" s="925"/>
      <c r="F113" s="925"/>
      <c r="G113" s="925"/>
      <c r="H113" s="925"/>
      <c r="I113" s="925"/>
      <c r="J113" s="925"/>
      <c r="K113" s="925"/>
      <c r="L113" s="925"/>
      <c r="M113" s="925"/>
      <c r="N113" s="925"/>
      <c r="O113" s="925"/>
      <c r="P113" s="925">
        <f t="shared" ref="P113:P176" si="16">SUM(C113:O113)</f>
        <v>0</v>
      </c>
    </row>
    <row r="114" spans="2:16" hidden="1" x14ac:dyDescent="0.2">
      <c r="B114" t="s">
        <v>145</v>
      </c>
      <c r="C114" s="925"/>
      <c r="D114" s="925"/>
      <c r="E114" s="925"/>
      <c r="F114" s="925"/>
      <c r="G114" s="925"/>
      <c r="H114" s="925"/>
      <c r="I114" s="925"/>
      <c r="J114" s="925"/>
      <c r="K114" s="925"/>
      <c r="L114" s="925"/>
      <c r="M114" s="925"/>
      <c r="N114" s="925"/>
      <c r="O114" s="925"/>
      <c r="P114" s="925">
        <f t="shared" si="16"/>
        <v>0</v>
      </c>
    </row>
    <row r="115" spans="2:16" hidden="1" x14ac:dyDescent="0.2">
      <c r="B115" t="s">
        <v>180</v>
      </c>
      <c r="C115" s="925"/>
      <c r="D115" s="925"/>
      <c r="E115" s="925"/>
      <c r="F115" s="925"/>
      <c r="G115" s="925"/>
      <c r="H115" s="925"/>
      <c r="I115" s="925"/>
      <c r="J115" s="925"/>
      <c r="K115" s="925"/>
      <c r="L115" s="925"/>
      <c r="M115" s="925"/>
      <c r="N115" s="925"/>
      <c r="O115" s="925"/>
      <c r="P115" s="925">
        <f t="shared" si="16"/>
        <v>0</v>
      </c>
    </row>
    <row r="116" spans="2:16" hidden="1" x14ac:dyDescent="0.2">
      <c r="B116" t="s">
        <v>181</v>
      </c>
      <c r="C116" s="925"/>
      <c r="D116" s="925"/>
      <c r="E116" s="925"/>
      <c r="F116" s="925"/>
      <c r="G116" s="925"/>
      <c r="H116" s="925"/>
      <c r="I116" s="925"/>
      <c r="J116" s="925"/>
      <c r="K116" s="925"/>
      <c r="L116" s="925"/>
      <c r="M116" s="925"/>
      <c r="N116" s="925"/>
      <c r="O116" s="925"/>
      <c r="P116" s="925">
        <f t="shared" si="16"/>
        <v>0</v>
      </c>
    </row>
    <row r="117" spans="2:16" hidden="1" x14ac:dyDescent="0.2">
      <c r="B117" t="s">
        <v>182</v>
      </c>
      <c r="C117" s="925"/>
      <c r="D117" s="925"/>
      <c r="E117" s="925"/>
      <c r="F117" s="925"/>
      <c r="G117" s="925"/>
      <c r="H117" s="925"/>
      <c r="I117" s="925"/>
      <c r="J117" s="925"/>
      <c r="K117" s="925"/>
      <c r="L117" s="925"/>
      <c r="M117" s="925"/>
      <c r="N117" s="925"/>
      <c r="O117" s="925"/>
      <c r="P117" s="925">
        <f t="shared" si="16"/>
        <v>0</v>
      </c>
    </row>
    <row r="118" spans="2:16" hidden="1" x14ac:dyDescent="0.2">
      <c r="B118" t="s">
        <v>183</v>
      </c>
      <c r="C118" s="925"/>
      <c r="D118" s="925"/>
      <c r="E118" s="925"/>
      <c r="F118" s="925"/>
      <c r="G118" s="925"/>
      <c r="H118" s="925"/>
      <c r="I118" s="925"/>
      <c r="J118" s="925"/>
      <c r="K118" s="925"/>
      <c r="L118" s="925"/>
      <c r="M118" s="925"/>
      <c r="N118" s="925"/>
      <c r="O118" s="925"/>
      <c r="P118" s="925">
        <f t="shared" si="16"/>
        <v>0</v>
      </c>
    </row>
    <row r="119" spans="2:16" hidden="1" x14ac:dyDescent="0.2">
      <c r="B119" t="s">
        <v>184</v>
      </c>
      <c r="C119" s="925"/>
      <c r="D119" s="925"/>
      <c r="E119" s="925"/>
      <c r="F119" s="925"/>
      <c r="G119" s="925"/>
      <c r="H119" s="925"/>
      <c r="I119" s="925"/>
      <c r="J119" s="925"/>
      <c r="K119" s="925"/>
      <c r="L119" s="925"/>
      <c r="M119" s="925"/>
      <c r="N119" s="925"/>
      <c r="O119" s="925"/>
      <c r="P119" s="925">
        <f t="shared" si="16"/>
        <v>0</v>
      </c>
    </row>
    <row r="120" spans="2:16" hidden="1" x14ac:dyDescent="0.2">
      <c r="B120" t="s">
        <v>185</v>
      </c>
      <c r="C120" s="925"/>
      <c r="D120" s="925"/>
      <c r="E120" s="925"/>
      <c r="F120" s="925"/>
      <c r="G120" s="925"/>
      <c r="H120" s="925"/>
      <c r="I120" s="925"/>
      <c r="J120" s="925"/>
      <c r="K120" s="925"/>
      <c r="L120" s="925"/>
      <c r="M120" s="925"/>
      <c r="N120" s="925"/>
      <c r="O120" s="925"/>
      <c r="P120" s="925">
        <f t="shared" si="16"/>
        <v>0</v>
      </c>
    </row>
    <row r="121" spans="2:16" hidden="1" x14ac:dyDescent="0.2">
      <c r="B121" t="s">
        <v>186</v>
      </c>
      <c r="C121" s="925"/>
      <c r="D121" s="925"/>
      <c r="E121" s="925"/>
      <c r="F121" s="925"/>
      <c r="G121" s="925"/>
      <c r="H121" s="925"/>
      <c r="I121" s="925"/>
      <c r="J121" s="925"/>
      <c r="K121" s="925"/>
      <c r="L121" s="925"/>
      <c r="M121" s="925"/>
      <c r="N121" s="925"/>
      <c r="O121" s="925"/>
      <c r="P121" s="925">
        <f t="shared" si="16"/>
        <v>0</v>
      </c>
    </row>
    <row r="122" spans="2:16" hidden="1" x14ac:dyDescent="0.2">
      <c r="B122" t="s">
        <v>187</v>
      </c>
      <c r="C122" s="925"/>
      <c r="D122" s="925"/>
      <c r="E122" s="925"/>
      <c r="F122" s="925"/>
      <c r="G122" s="925"/>
      <c r="H122" s="925"/>
      <c r="I122" s="925"/>
      <c r="J122" s="925"/>
      <c r="K122" s="925"/>
      <c r="L122" s="925"/>
      <c r="M122" s="925"/>
      <c r="N122" s="925"/>
      <c r="O122" s="925"/>
      <c r="P122" s="925">
        <f t="shared" si="16"/>
        <v>0</v>
      </c>
    </row>
    <row r="123" spans="2:16" hidden="1" x14ac:dyDescent="0.2">
      <c r="B123" t="s">
        <v>188</v>
      </c>
      <c r="C123" s="925"/>
      <c r="D123" s="925"/>
      <c r="E123" s="925"/>
      <c r="F123" s="925"/>
      <c r="G123" s="925"/>
      <c r="H123" s="925"/>
      <c r="I123" s="925"/>
      <c r="J123" s="925"/>
      <c r="K123" s="925"/>
      <c r="L123" s="925"/>
      <c r="M123" s="925"/>
      <c r="N123" s="925"/>
      <c r="O123" s="925"/>
      <c r="P123" s="925">
        <f t="shared" si="16"/>
        <v>0</v>
      </c>
    </row>
    <row r="124" spans="2:16" hidden="1" x14ac:dyDescent="0.2">
      <c r="B124" t="s">
        <v>189</v>
      </c>
      <c r="C124" s="925"/>
      <c r="D124" s="925"/>
      <c r="E124" s="925"/>
      <c r="F124" s="925"/>
      <c r="G124" s="925"/>
      <c r="H124" s="925"/>
      <c r="I124" s="925"/>
      <c r="J124" s="925"/>
      <c r="K124" s="925"/>
      <c r="L124" s="925"/>
      <c r="M124" s="925"/>
      <c r="N124" s="925"/>
      <c r="O124" s="925"/>
      <c r="P124" s="925">
        <f t="shared" si="16"/>
        <v>0</v>
      </c>
    </row>
    <row r="125" spans="2:16" x14ac:dyDescent="0.2">
      <c r="B125" t="s">
        <v>190</v>
      </c>
      <c r="C125" s="925"/>
      <c r="D125" s="925"/>
      <c r="E125" s="925"/>
      <c r="F125" s="925"/>
      <c r="G125" s="925"/>
      <c r="H125" s="925"/>
      <c r="I125" s="925"/>
      <c r="J125" s="925"/>
      <c r="K125" s="925"/>
      <c r="L125" s="925"/>
      <c r="M125" s="925"/>
      <c r="N125" s="925"/>
      <c r="O125" s="925">
        <v>-1550000</v>
      </c>
      <c r="P125" s="925">
        <f t="shared" si="16"/>
        <v>-1550000</v>
      </c>
    </row>
    <row r="126" spans="2:16" hidden="1" x14ac:dyDescent="0.2">
      <c r="B126" t="s">
        <v>191</v>
      </c>
      <c r="C126" s="925"/>
      <c r="D126" s="925"/>
      <c r="E126" s="925"/>
      <c r="F126" s="925"/>
      <c r="G126" s="925"/>
      <c r="H126" s="925"/>
      <c r="I126" s="925"/>
      <c r="J126" s="925"/>
      <c r="K126" s="925"/>
      <c r="L126" s="925"/>
      <c r="M126" s="925"/>
      <c r="N126" s="925"/>
      <c r="O126" s="925"/>
      <c r="P126" s="925">
        <f t="shared" si="16"/>
        <v>0</v>
      </c>
    </row>
    <row r="127" spans="2:16" hidden="1" x14ac:dyDescent="0.2">
      <c r="B127" t="s">
        <v>192</v>
      </c>
      <c r="C127" s="925"/>
      <c r="D127" s="925"/>
      <c r="E127" s="925"/>
      <c r="F127" s="925"/>
      <c r="G127" s="925"/>
      <c r="H127" s="925"/>
      <c r="I127" s="925"/>
      <c r="J127" s="925"/>
      <c r="K127" s="925"/>
      <c r="L127" s="925"/>
      <c r="M127" s="925"/>
      <c r="N127" s="925"/>
      <c r="O127" s="925"/>
      <c r="P127" s="925">
        <f t="shared" si="16"/>
        <v>0</v>
      </c>
    </row>
    <row r="128" spans="2:16" hidden="1" x14ac:dyDescent="0.2">
      <c r="B128" t="s">
        <v>193</v>
      </c>
      <c r="C128" s="925"/>
      <c r="D128" s="925"/>
      <c r="E128" s="925"/>
      <c r="F128" s="925"/>
      <c r="G128" s="925"/>
      <c r="H128" s="925"/>
      <c r="I128" s="925"/>
      <c r="J128" s="925"/>
      <c r="K128" s="925"/>
      <c r="L128" s="925"/>
      <c r="M128" s="925"/>
      <c r="N128" s="925"/>
      <c r="O128" s="925"/>
      <c r="P128" s="925">
        <f t="shared" si="16"/>
        <v>0</v>
      </c>
    </row>
    <row r="129" spans="2:16" hidden="1" x14ac:dyDescent="0.2">
      <c r="B129" t="s">
        <v>194</v>
      </c>
      <c r="C129" s="925"/>
      <c r="D129" s="925"/>
      <c r="E129" s="925"/>
      <c r="F129" s="925"/>
      <c r="G129" s="925"/>
      <c r="H129" s="925"/>
      <c r="I129" s="925"/>
      <c r="J129" s="925"/>
      <c r="K129" s="925"/>
      <c r="L129" s="925"/>
      <c r="M129" s="925"/>
      <c r="N129" s="925"/>
      <c r="O129" s="925"/>
      <c r="P129" s="925">
        <f t="shared" si="16"/>
        <v>0</v>
      </c>
    </row>
    <row r="130" spans="2:16" hidden="1" x14ac:dyDescent="0.2">
      <c r="B130" t="s">
        <v>195</v>
      </c>
      <c r="C130" s="925"/>
      <c r="D130" s="925"/>
      <c r="E130" s="925"/>
      <c r="F130" s="925"/>
      <c r="G130" s="925"/>
      <c r="H130" s="925"/>
      <c r="I130" s="925"/>
      <c r="J130" s="925"/>
      <c r="K130" s="925"/>
      <c r="L130" s="925"/>
      <c r="M130" s="925"/>
      <c r="N130" s="925"/>
      <c r="O130" s="925"/>
      <c r="P130" s="925">
        <f t="shared" si="16"/>
        <v>0</v>
      </c>
    </row>
    <row r="131" spans="2:16" hidden="1" x14ac:dyDescent="0.2">
      <c r="B131" t="s">
        <v>196</v>
      </c>
      <c r="C131" s="925"/>
      <c r="D131" s="925"/>
      <c r="E131" s="925"/>
      <c r="F131" s="925"/>
      <c r="G131" s="925"/>
      <c r="H131" s="925"/>
      <c r="I131" s="925"/>
      <c r="J131" s="925"/>
      <c r="K131" s="925"/>
      <c r="L131" s="925"/>
      <c r="M131" s="925"/>
      <c r="N131" s="925"/>
      <c r="O131" s="925"/>
      <c r="P131" s="925">
        <f t="shared" si="16"/>
        <v>0</v>
      </c>
    </row>
    <row r="132" spans="2:16" hidden="1" x14ac:dyDescent="0.2">
      <c r="B132" t="s">
        <v>197</v>
      </c>
      <c r="C132" s="925"/>
      <c r="D132" s="925"/>
      <c r="E132" s="925"/>
      <c r="F132" s="925"/>
      <c r="G132" s="925"/>
      <c r="H132" s="925"/>
      <c r="I132" s="925"/>
      <c r="J132" s="925"/>
      <c r="K132" s="925"/>
      <c r="L132" s="925"/>
      <c r="M132" s="925"/>
      <c r="N132" s="925"/>
      <c r="O132" s="925"/>
      <c r="P132" s="925">
        <f t="shared" si="16"/>
        <v>0</v>
      </c>
    </row>
    <row r="133" spans="2:16" hidden="1" x14ac:dyDescent="0.2">
      <c r="B133" t="s">
        <v>198</v>
      </c>
      <c r="C133" s="925"/>
      <c r="D133" s="925"/>
      <c r="E133" s="925"/>
      <c r="F133" s="925"/>
      <c r="G133" s="925"/>
      <c r="H133" s="925"/>
      <c r="I133" s="925"/>
      <c r="J133" s="925"/>
      <c r="K133" s="925"/>
      <c r="L133" s="925"/>
      <c r="M133" s="925"/>
      <c r="N133" s="925"/>
      <c r="O133" s="925"/>
      <c r="P133" s="925">
        <f t="shared" si="16"/>
        <v>0</v>
      </c>
    </row>
    <row r="134" spans="2:16" hidden="1" x14ac:dyDescent="0.2">
      <c r="B134" t="s">
        <v>199</v>
      </c>
      <c r="C134" s="925"/>
      <c r="D134" s="925"/>
      <c r="E134" s="925"/>
      <c r="F134" s="925"/>
      <c r="G134" s="925"/>
      <c r="H134" s="925"/>
      <c r="I134" s="925"/>
      <c r="J134" s="925"/>
      <c r="K134" s="925"/>
      <c r="L134" s="925"/>
      <c r="M134" s="925"/>
      <c r="N134" s="925"/>
      <c r="O134" s="925"/>
      <c r="P134" s="925">
        <f t="shared" si="16"/>
        <v>0</v>
      </c>
    </row>
    <row r="135" spans="2:16" hidden="1" x14ac:dyDescent="0.2">
      <c r="B135" t="s">
        <v>200</v>
      </c>
      <c r="C135" s="925"/>
      <c r="D135" s="925"/>
      <c r="E135" s="925"/>
      <c r="F135" s="925"/>
      <c r="G135" s="925"/>
      <c r="H135" s="925"/>
      <c r="I135" s="925"/>
      <c r="J135" s="925"/>
      <c r="K135" s="925"/>
      <c r="L135" s="925"/>
      <c r="M135" s="925"/>
      <c r="N135" s="925"/>
      <c r="O135" s="925"/>
      <c r="P135" s="925">
        <f t="shared" si="16"/>
        <v>0</v>
      </c>
    </row>
    <row r="136" spans="2:16" hidden="1" x14ac:dyDescent="0.2">
      <c r="B136" t="s">
        <v>201</v>
      </c>
      <c r="C136" s="925"/>
      <c r="D136" s="925"/>
      <c r="E136" s="925"/>
      <c r="F136" s="925"/>
      <c r="G136" s="925"/>
      <c r="H136" s="925"/>
      <c r="I136" s="925"/>
      <c r="J136" s="925"/>
      <c r="K136" s="925"/>
      <c r="L136" s="925"/>
      <c r="M136" s="925"/>
      <c r="N136" s="925"/>
      <c r="O136" s="925"/>
      <c r="P136" s="925">
        <f t="shared" si="16"/>
        <v>0</v>
      </c>
    </row>
    <row r="137" spans="2:16" hidden="1" x14ac:dyDescent="0.2">
      <c r="B137" t="s">
        <v>202</v>
      </c>
      <c r="C137" s="925"/>
      <c r="D137" s="925"/>
      <c r="E137" s="925"/>
      <c r="F137" s="925"/>
      <c r="G137" s="925"/>
      <c r="H137" s="925"/>
      <c r="I137" s="925"/>
      <c r="J137" s="925"/>
      <c r="K137" s="925"/>
      <c r="L137" s="925"/>
      <c r="M137" s="925"/>
      <c r="N137" s="925"/>
      <c r="O137" s="925"/>
      <c r="P137" s="925">
        <f t="shared" si="16"/>
        <v>0</v>
      </c>
    </row>
    <row r="138" spans="2:16" hidden="1" x14ac:dyDescent="0.2">
      <c r="B138" t="s">
        <v>203</v>
      </c>
      <c r="C138" s="925"/>
      <c r="D138" s="925"/>
      <c r="E138" s="925"/>
      <c r="F138" s="925"/>
      <c r="G138" s="925"/>
      <c r="H138" s="925"/>
      <c r="I138" s="925"/>
      <c r="J138" s="925"/>
      <c r="K138" s="925"/>
      <c r="L138" s="925"/>
      <c r="M138" s="925"/>
      <c r="N138" s="925"/>
      <c r="O138" s="925"/>
      <c r="P138" s="925">
        <f t="shared" si="16"/>
        <v>0</v>
      </c>
    </row>
    <row r="139" spans="2:16" hidden="1" x14ac:dyDescent="0.2">
      <c r="B139" t="s">
        <v>204</v>
      </c>
      <c r="C139" s="925"/>
      <c r="D139" s="925"/>
      <c r="E139" s="925"/>
      <c r="F139" s="925"/>
      <c r="G139" s="925"/>
      <c r="H139" s="925"/>
      <c r="I139" s="925"/>
      <c r="J139" s="925"/>
      <c r="K139" s="925"/>
      <c r="L139" s="925"/>
      <c r="M139" s="925"/>
      <c r="N139" s="925"/>
      <c r="O139" s="925"/>
      <c r="P139" s="925">
        <f t="shared" si="16"/>
        <v>0</v>
      </c>
    </row>
    <row r="140" spans="2:16" hidden="1" x14ac:dyDescent="0.2">
      <c r="B140" t="s">
        <v>205</v>
      </c>
      <c r="C140" s="925"/>
      <c r="D140" s="925"/>
      <c r="E140" s="925"/>
      <c r="F140" s="925"/>
      <c r="G140" s="925"/>
      <c r="H140" s="925"/>
      <c r="I140" s="925"/>
      <c r="J140" s="925"/>
      <c r="K140" s="925"/>
      <c r="L140" s="925"/>
      <c r="M140" s="925"/>
      <c r="N140" s="925"/>
      <c r="O140" s="925"/>
      <c r="P140" s="925">
        <f t="shared" si="16"/>
        <v>0</v>
      </c>
    </row>
    <row r="141" spans="2:16" x14ac:dyDescent="0.2">
      <c r="B141" t="s">
        <v>206</v>
      </c>
      <c r="C141" s="925"/>
      <c r="D141" s="925"/>
      <c r="E141" s="925"/>
      <c r="F141" s="925"/>
      <c r="G141" s="925"/>
      <c r="H141" s="925"/>
      <c r="I141" s="925"/>
      <c r="J141" s="925"/>
      <c r="K141" s="925"/>
      <c r="L141" s="925"/>
      <c r="M141" s="925"/>
      <c r="N141" s="925"/>
      <c r="O141" s="925">
        <v>-100000</v>
      </c>
      <c r="P141" s="925">
        <f t="shared" si="16"/>
        <v>-100000</v>
      </c>
    </row>
    <row r="142" spans="2:16" hidden="1" x14ac:dyDescent="0.2">
      <c r="B142" t="s">
        <v>207</v>
      </c>
      <c r="C142" s="916"/>
      <c r="D142" s="916"/>
      <c r="E142" s="916"/>
      <c r="F142" s="916"/>
      <c r="G142" s="916"/>
      <c r="H142" s="916"/>
      <c r="I142" s="916"/>
      <c r="J142" s="916"/>
      <c r="K142" s="916"/>
      <c r="L142" s="916"/>
      <c r="M142" s="916"/>
      <c r="N142" s="916"/>
      <c r="O142" s="925"/>
      <c r="P142" s="925">
        <f t="shared" si="16"/>
        <v>0</v>
      </c>
    </row>
    <row r="143" spans="2:16" hidden="1" x14ac:dyDescent="0.2">
      <c r="B143" t="s">
        <v>208</v>
      </c>
      <c r="C143" s="916"/>
      <c r="D143" s="916"/>
      <c r="E143" s="916"/>
      <c r="F143" s="916"/>
      <c r="G143" s="916"/>
      <c r="H143" s="916"/>
      <c r="I143" s="916"/>
      <c r="J143" s="916"/>
      <c r="K143" s="916"/>
      <c r="L143" s="916"/>
      <c r="M143" s="916"/>
      <c r="N143" s="916"/>
      <c r="O143" s="925"/>
      <c r="P143" s="925">
        <f t="shared" si="16"/>
        <v>0</v>
      </c>
    </row>
    <row r="144" spans="2:16" hidden="1" x14ac:dyDescent="0.2">
      <c r="B144" t="s">
        <v>209</v>
      </c>
      <c r="C144" s="916"/>
      <c r="D144" s="916"/>
      <c r="E144" s="916"/>
      <c r="F144" s="916"/>
      <c r="G144" s="916"/>
      <c r="H144" s="916"/>
      <c r="I144" s="916"/>
      <c r="J144" s="916"/>
      <c r="K144" s="916"/>
      <c r="L144" s="916"/>
      <c r="M144" s="916"/>
      <c r="N144" s="916"/>
      <c r="O144" s="925"/>
      <c r="P144" s="925">
        <f t="shared" si="16"/>
        <v>0</v>
      </c>
    </row>
    <row r="145" spans="1:16" hidden="1" x14ac:dyDescent="0.2">
      <c r="B145" t="s">
        <v>210</v>
      </c>
      <c r="C145" s="916"/>
      <c r="D145" s="916"/>
      <c r="E145" s="916"/>
      <c r="F145" s="916"/>
      <c r="G145" s="916"/>
      <c r="H145" s="916"/>
      <c r="I145" s="916"/>
      <c r="J145" s="916"/>
      <c r="K145" s="916"/>
      <c r="L145" s="916"/>
      <c r="M145" s="916"/>
      <c r="N145" s="916"/>
      <c r="O145" s="925"/>
      <c r="P145" s="925">
        <f t="shared" si="16"/>
        <v>0</v>
      </c>
    </row>
    <row r="146" spans="1:16" hidden="1" x14ac:dyDescent="0.2">
      <c r="B146" t="s">
        <v>211</v>
      </c>
      <c r="C146" s="916"/>
      <c r="D146" s="916"/>
      <c r="E146" s="916"/>
      <c r="F146" s="916"/>
      <c r="G146" s="916"/>
      <c r="H146" s="916"/>
      <c r="I146" s="916"/>
      <c r="J146" s="916"/>
      <c r="K146" s="916"/>
      <c r="L146" s="916"/>
      <c r="M146" s="916"/>
      <c r="N146" s="916"/>
      <c r="O146" s="925"/>
      <c r="P146" s="925">
        <f t="shared" si="16"/>
        <v>0</v>
      </c>
    </row>
    <row r="147" spans="1:16" hidden="1" x14ac:dyDescent="0.2">
      <c r="B147" t="s">
        <v>212</v>
      </c>
      <c r="C147" s="916"/>
      <c r="D147" s="916"/>
      <c r="E147" s="916"/>
      <c r="F147" s="916"/>
      <c r="G147" s="916"/>
      <c r="H147" s="916"/>
      <c r="I147" s="916"/>
      <c r="J147" s="916"/>
      <c r="K147" s="916"/>
      <c r="L147" s="916"/>
      <c r="M147" s="916"/>
      <c r="N147" s="916"/>
      <c r="O147" s="925"/>
      <c r="P147" s="925">
        <f t="shared" si="16"/>
        <v>0</v>
      </c>
    </row>
    <row r="148" spans="1:16" hidden="1" x14ac:dyDescent="0.2">
      <c r="B148" t="s">
        <v>213</v>
      </c>
      <c r="C148" s="916"/>
      <c r="D148" s="916"/>
      <c r="E148" s="916"/>
      <c r="F148" s="916"/>
      <c r="G148" s="916"/>
      <c r="H148" s="916"/>
      <c r="I148" s="916"/>
      <c r="J148" s="916"/>
      <c r="K148" s="916"/>
      <c r="L148" s="916"/>
      <c r="M148" s="916"/>
      <c r="N148" s="916"/>
      <c r="O148" s="925"/>
      <c r="P148" s="925">
        <f t="shared" si="16"/>
        <v>0</v>
      </c>
    </row>
    <row r="149" spans="1:16" hidden="1" x14ac:dyDescent="0.2">
      <c r="B149" t="s">
        <v>214</v>
      </c>
      <c r="C149" s="916"/>
      <c r="D149" s="916"/>
      <c r="E149" s="916"/>
      <c r="F149" s="916"/>
      <c r="G149" s="916"/>
      <c r="H149" s="916"/>
      <c r="I149" s="916"/>
      <c r="J149" s="916"/>
      <c r="K149" s="916"/>
      <c r="L149" s="916"/>
      <c r="M149" s="916"/>
      <c r="N149" s="916"/>
      <c r="O149" s="925"/>
      <c r="P149" s="925">
        <f t="shared" si="16"/>
        <v>0</v>
      </c>
    </row>
    <row r="150" spans="1:16" hidden="1" x14ac:dyDescent="0.2">
      <c r="B150" t="s">
        <v>215</v>
      </c>
      <c r="C150" s="916"/>
      <c r="D150" s="916"/>
      <c r="E150" s="916"/>
      <c r="F150" s="916"/>
      <c r="G150" s="916"/>
      <c r="H150" s="916"/>
      <c r="I150" s="916"/>
      <c r="J150" s="916"/>
      <c r="K150" s="916"/>
      <c r="L150" s="916"/>
      <c r="M150" s="916"/>
      <c r="N150" s="916"/>
      <c r="O150" s="925"/>
      <c r="P150" s="925">
        <f t="shared" si="16"/>
        <v>0</v>
      </c>
    </row>
    <row r="151" spans="1:16" hidden="1" x14ac:dyDescent="0.2">
      <c r="B151" t="s">
        <v>216</v>
      </c>
      <c r="C151" s="916"/>
      <c r="D151" s="916"/>
      <c r="E151" s="916"/>
      <c r="F151" s="916"/>
      <c r="G151" s="916"/>
      <c r="H151" s="916"/>
      <c r="I151" s="916"/>
      <c r="J151" s="916"/>
      <c r="K151" s="916"/>
      <c r="L151" s="916"/>
      <c r="M151" s="916"/>
      <c r="N151" s="916"/>
      <c r="O151" s="925"/>
      <c r="P151" s="925">
        <f t="shared" si="16"/>
        <v>0</v>
      </c>
    </row>
    <row r="152" spans="1:16" hidden="1" x14ac:dyDescent="0.2">
      <c r="B152" t="s">
        <v>217</v>
      </c>
      <c r="C152" s="916"/>
      <c r="D152" s="916"/>
      <c r="E152" s="916"/>
      <c r="F152" s="916"/>
      <c r="G152" s="916"/>
      <c r="H152" s="916"/>
      <c r="I152" s="916"/>
      <c r="J152" s="916"/>
      <c r="K152" s="916"/>
      <c r="L152" s="916"/>
      <c r="M152" s="916"/>
      <c r="N152" s="916"/>
      <c r="O152" s="925"/>
      <c r="P152" s="925">
        <f t="shared" si="16"/>
        <v>0</v>
      </c>
    </row>
    <row r="153" spans="1:16" hidden="1" x14ac:dyDescent="0.2">
      <c r="B153" t="s">
        <v>218</v>
      </c>
      <c r="C153" s="916"/>
      <c r="D153" s="916"/>
      <c r="E153" s="916"/>
      <c r="F153" s="916"/>
      <c r="G153" s="916"/>
      <c r="H153" s="916"/>
      <c r="I153" s="916"/>
      <c r="J153" s="916"/>
      <c r="K153" s="916"/>
      <c r="L153" s="916"/>
      <c r="M153" s="916"/>
      <c r="N153" s="916"/>
      <c r="O153" s="925"/>
      <c r="P153" s="925">
        <f t="shared" si="16"/>
        <v>0</v>
      </c>
    </row>
    <row r="154" spans="1:16" hidden="1" x14ac:dyDescent="0.2">
      <c r="B154" t="s">
        <v>219</v>
      </c>
      <c r="C154" s="916"/>
      <c r="D154" s="916"/>
      <c r="E154" s="916"/>
      <c r="F154" s="916"/>
      <c r="G154" s="916"/>
      <c r="H154" s="916"/>
      <c r="I154" s="916"/>
      <c r="J154" s="916"/>
      <c r="K154" s="916"/>
      <c r="L154" s="916"/>
      <c r="M154" s="916"/>
      <c r="N154" s="916"/>
      <c r="O154" s="925"/>
      <c r="P154" s="925">
        <f t="shared" si="16"/>
        <v>0</v>
      </c>
    </row>
    <row r="155" spans="1:16" hidden="1" x14ac:dyDescent="0.2">
      <c r="B155" t="s">
        <v>220</v>
      </c>
      <c r="C155" s="916"/>
      <c r="D155" s="916"/>
      <c r="E155" s="916"/>
      <c r="F155" s="916"/>
      <c r="G155" s="916"/>
      <c r="H155" s="916"/>
      <c r="I155" s="916"/>
      <c r="J155" s="916"/>
      <c r="K155" s="916"/>
      <c r="L155" s="916"/>
      <c r="M155" s="916"/>
      <c r="N155" s="916"/>
      <c r="O155" s="925"/>
      <c r="P155" s="925">
        <f t="shared" si="16"/>
        <v>0</v>
      </c>
    </row>
    <row r="156" spans="1:16" hidden="1" x14ac:dyDescent="0.2">
      <c r="B156" t="s">
        <v>221</v>
      </c>
      <c r="C156" s="916"/>
      <c r="D156" s="916"/>
      <c r="E156" s="916"/>
      <c r="F156" s="916"/>
      <c r="G156" s="916"/>
      <c r="H156" s="916"/>
      <c r="I156" s="916"/>
      <c r="J156" s="916"/>
      <c r="K156" s="916"/>
      <c r="L156" s="916"/>
      <c r="M156" s="916"/>
      <c r="N156" s="916"/>
      <c r="O156" s="925"/>
      <c r="P156" s="925">
        <f t="shared" si="16"/>
        <v>0</v>
      </c>
    </row>
    <row r="157" spans="1:16" hidden="1" x14ac:dyDescent="0.2">
      <c r="A157" s="2" t="s">
        <v>10</v>
      </c>
      <c r="B157" t="s">
        <v>142</v>
      </c>
      <c r="C157" s="916"/>
      <c r="D157" s="916"/>
      <c r="E157" s="916"/>
      <c r="F157" s="916"/>
      <c r="G157" s="916"/>
      <c r="H157" s="916"/>
      <c r="I157" s="916"/>
      <c r="J157" s="916"/>
      <c r="K157" s="916"/>
      <c r="L157" s="916"/>
      <c r="M157" s="916"/>
      <c r="N157" s="916"/>
      <c r="O157" s="925"/>
      <c r="P157" s="925">
        <f t="shared" si="16"/>
        <v>0</v>
      </c>
    </row>
    <row r="158" spans="1:16" hidden="1" x14ac:dyDescent="0.2">
      <c r="A158" s="2" t="s">
        <v>10</v>
      </c>
      <c r="B158" t="s">
        <v>141</v>
      </c>
      <c r="C158" s="916"/>
      <c r="D158" s="916"/>
      <c r="E158" s="916"/>
      <c r="F158" s="916"/>
      <c r="G158" s="916"/>
      <c r="H158" s="916"/>
      <c r="I158" s="916"/>
      <c r="J158" s="916"/>
      <c r="K158" s="916"/>
      <c r="L158" s="916"/>
      <c r="M158" s="916"/>
      <c r="N158" s="916"/>
      <c r="O158" s="925"/>
      <c r="P158" s="925">
        <f t="shared" si="16"/>
        <v>0</v>
      </c>
    </row>
    <row r="159" spans="1:16" hidden="1" x14ac:dyDescent="0.2">
      <c r="A159" s="2" t="s">
        <v>33</v>
      </c>
      <c r="B159" t="s">
        <v>222</v>
      </c>
      <c r="C159" s="916"/>
      <c r="D159" s="916"/>
      <c r="E159" s="916"/>
      <c r="F159" s="916"/>
      <c r="G159" s="916"/>
      <c r="H159" s="916"/>
      <c r="I159" s="916"/>
      <c r="J159" s="916"/>
      <c r="K159" s="916"/>
      <c r="L159" s="916"/>
      <c r="M159" s="916"/>
      <c r="N159" s="916"/>
      <c r="O159" s="925"/>
      <c r="P159" s="925">
        <f t="shared" si="16"/>
        <v>0</v>
      </c>
    </row>
    <row r="160" spans="1:16" hidden="1" x14ac:dyDescent="0.2">
      <c r="A160" s="2" t="s">
        <v>10</v>
      </c>
      <c r="B160" t="s">
        <v>138</v>
      </c>
      <c r="C160" s="916"/>
      <c r="D160" s="916"/>
      <c r="E160" s="916"/>
      <c r="F160" s="916"/>
      <c r="G160" s="916"/>
      <c r="H160" s="916"/>
      <c r="I160" s="916"/>
      <c r="J160" s="916"/>
      <c r="K160" s="916"/>
      <c r="L160" s="916"/>
      <c r="M160" s="916"/>
      <c r="N160" s="916"/>
      <c r="O160" s="925"/>
      <c r="P160" s="925">
        <f t="shared" si="16"/>
        <v>0</v>
      </c>
    </row>
    <row r="161" spans="1:16" hidden="1" x14ac:dyDescent="0.2">
      <c r="A161" s="2" t="s">
        <v>10</v>
      </c>
      <c r="B161" t="s">
        <v>136</v>
      </c>
      <c r="C161" s="916"/>
      <c r="D161" s="916"/>
      <c r="E161" s="916"/>
      <c r="F161" s="916"/>
      <c r="G161" s="916"/>
      <c r="H161" s="916"/>
      <c r="I161" s="916"/>
      <c r="J161" s="916"/>
      <c r="K161" s="916"/>
      <c r="L161" s="916"/>
      <c r="M161" s="916"/>
      <c r="N161" s="916"/>
      <c r="O161" s="925"/>
      <c r="P161" s="925">
        <f t="shared" si="16"/>
        <v>0</v>
      </c>
    </row>
    <row r="162" spans="1:16" hidden="1" x14ac:dyDescent="0.2">
      <c r="B162" t="s">
        <v>223</v>
      </c>
      <c r="C162" s="916"/>
      <c r="D162" s="916"/>
      <c r="E162" s="916"/>
      <c r="F162" s="916"/>
      <c r="G162" s="916"/>
      <c r="H162" s="916"/>
      <c r="I162" s="916"/>
      <c r="J162" s="916"/>
      <c r="K162" s="916"/>
      <c r="L162" s="916"/>
      <c r="M162" s="916"/>
      <c r="N162" s="916"/>
      <c r="O162" s="925"/>
      <c r="P162" s="925">
        <f t="shared" si="16"/>
        <v>0</v>
      </c>
    </row>
    <row r="163" spans="1:16" hidden="1" x14ac:dyDescent="0.2">
      <c r="B163" t="s">
        <v>224</v>
      </c>
      <c r="C163" s="916"/>
      <c r="D163" s="916"/>
      <c r="E163" s="916"/>
      <c r="F163" s="916"/>
      <c r="G163" s="916"/>
      <c r="H163" s="916"/>
      <c r="I163" s="916"/>
      <c r="J163" s="916"/>
      <c r="K163" s="916"/>
      <c r="L163" s="916"/>
      <c r="M163" s="916"/>
      <c r="N163" s="916"/>
      <c r="O163" s="925"/>
      <c r="P163" s="925">
        <f t="shared" si="16"/>
        <v>0</v>
      </c>
    </row>
    <row r="164" spans="1:16" hidden="1" x14ac:dyDescent="0.2">
      <c r="B164" t="s">
        <v>225</v>
      </c>
      <c r="C164" s="916"/>
      <c r="D164" s="916"/>
      <c r="E164" s="916"/>
      <c r="F164" s="916"/>
      <c r="G164" s="916"/>
      <c r="H164" s="916"/>
      <c r="I164" s="916"/>
      <c r="J164" s="916"/>
      <c r="K164" s="916"/>
      <c r="L164" s="916"/>
      <c r="M164" s="916"/>
      <c r="N164" s="916"/>
      <c r="O164" s="925"/>
      <c r="P164" s="925">
        <f t="shared" si="16"/>
        <v>0</v>
      </c>
    </row>
    <row r="165" spans="1:16" hidden="1" x14ac:dyDescent="0.2">
      <c r="B165" t="s">
        <v>226</v>
      </c>
      <c r="C165" s="916"/>
      <c r="D165" s="916"/>
      <c r="E165" s="916"/>
      <c r="F165" s="916"/>
      <c r="G165" s="916"/>
      <c r="H165" s="916"/>
      <c r="I165" s="916"/>
      <c r="J165" s="916"/>
      <c r="K165" s="916"/>
      <c r="L165" s="916"/>
      <c r="M165" s="916"/>
      <c r="N165" s="916"/>
      <c r="O165" s="925"/>
      <c r="P165" s="925">
        <f t="shared" si="16"/>
        <v>0</v>
      </c>
    </row>
    <row r="166" spans="1:16" hidden="1" x14ac:dyDescent="0.2">
      <c r="B166" t="s">
        <v>227</v>
      </c>
      <c r="C166" s="916"/>
      <c r="D166" s="916"/>
      <c r="E166" s="916"/>
      <c r="F166" s="916"/>
      <c r="G166" s="916"/>
      <c r="H166" s="916"/>
      <c r="I166" s="916"/>
      <c r="J166" s="916"/>
      <c r="K166" s="916"/>
      <c r="L166" s="916"/>
      <c r="M166" s="916"/>
      <c r="N166" s="916"/>
      <c r="O166" s="925"/>
      <c r="P166" s="925">
        <f t="shared" si="16"/>
        <v>0</v>
      </c>
    </row>
    <row r="167" spans="1:16" hidden="1" x14ac:dyDescent="0.2">
      <c r="B167" t="s">
        <v>228</v>
      </c>
      <c r="C167" s="916"/>
      <c r="D167" s="916"/>
      <c r="E167" s="916"/>
      <c r="F167" s="916"/>
      <c r="G167" s="916"/>
      <c r="H167" s="916"/>
      <c r="I167" s="916"/>
      <c r="J167" s="916"/>
      <c r="K167" s="916"/>
      <c r="L167" s="916"/>
      <c r="M167" s="916"/>
      <c r="N167" s="916"/>
      <c r="O167" s="925"/>
      <c r="P167" s="925">
        <f t="shared" si="16"/>
        <v>0</v>
      </c>
    </row>
    <row r="168" spans="1:16" hidden="1" x14ac:dyDescent="0.2">
      <c r="B168" t="s">
        <v>229</v>
      </c>
      <c r="C168" s="916"/>
      <c r="D168" s="916"/>
      <c r="E168" s="916"/>
      <c r="F168" s="916"/>
      <c r="G168" s="916"/>
      <c r="H168" s="916"/>
      <c r="I168" s="916"/>
      <c r="J168" s="916"/>
      <c r="K168" s="916"/>
      <c r="L168" s="916"/>
      <c r="M168" s="916"/>
      <c r="N168" s="916"/>
      <c r="O168" s="925"/>
      <c r="P168" s="925">
        <f t="shared" si="16"/>
        <v>0</v>
      </c>
    </row>
    <row r="169" spans="1:16" hidden="1" x14ac:dyDescent="0.2">
      <c r="B169" t="s">
        <v>230</v>
      </c>
      <c r="C169" s="916"/>
      <c r="D169" s="916"/>
      <c r="E169" s="916"/>
      <c r="F169" s="916"/>
      <c r="G169" s="916"/>
      <c r="H169" s="916"/>
      <c r="I169" s="916"/>
      <c r="J169" s="916"/>
      <c r="K169" s="916"/>
      <c r="L169" s="916"/>
      <c r="M169" s="916"/>
      <c r="N169" s="916"/>
      <c r="O169" s="925"/>
      <c r="P169" s="925">
        <f t="shared" si="16"/>
        <v>0</v>
      </c>
    </row>
    <row r="170" spans="1:16" hidden="1" x14ac:dyDescent="0.2">
      <c r="B170" t="s">
        <v>231</v>
      </c>
      <c r="C170" s="916"/>
      <c r="D170" s="916"/>
      <c r="E170" s="916"/>
      <c r="F170" s="916"/>
      <c r="G170" s="916"/>
      <c r="H170" s="916"/>
      <c r="I170" s="916"/>
      <c r="J170" s="916"/>
      <c r="K170" s="916"/>
      <c r="L170" s="916"/>
      <c r="M170" s="916"/>
      <c r="N170" s="916"/>
      <c r="O170" s="925"/>
      <c r="P170" s="925">
        <f t="shared" si="16"/>
        <v>0</v>
      </c>
    </row>
    <row r="171" spans="1:16" hidden="1" x14ac:dyDescent="0.2">
      <c r="B171" t="s">
        <v>232</v>
      </c>
      <c r="C171" s="916"/>
      <c r="D171" s="916"/>
      <c r="E171" s="916"/>
      <c r="F171" s="916"/>
      <c r="G171" s="916"/>
      <c r="H171" s="916"/>
      <c r="I171" s="916"/>
      <c r="J171" s="916"/>
      <c r="K171" s="916"/>
      <c r="L171" s="916"/>
      <c r="M171" s="916"/>
      <c r="N171" s="916"/>
      <c r="O171" s="925"/>
      <c r="P171" s="925">
        <f t="shared" si="16"/>
        <v>0</v>
      </c>
    </row>
    <row r="172" spans="1:16" hidden="1" x14ac:dyDescent="0.2">
      <c r="B172" t="s">
        <v>233</v>
      </c>
      <c r="C172" s="916"/>
      <c r="D172" s="916"/>
      <c r="E172" s="916"/>
      <c r="F172" s="916"/>
      <c r="G172" s="916"/>
      <c r="H172" s="916"/>
      <c r="I172" s="916"/>
      <c r="J172" s="916"/>
      <c r="K172" s="916"/>
      <c r="L172" s="916"/>
      <c r="M172" s="916"/>
      <c r="N172" s="916"/>
      <c r="O172" s="925"/>
      <c r="P172" s="925">
        <f t="shared" si="16"/>
        <v>0</v>
      </c>
    </row>
    <row r="173" spans="1:16" hidden="1" x14ac:dyDescent="0.2">
      <c r="B173" t="s">
        <v>234</v>
      </c>
      <c r="C173" s="916"/>
      <c r="D173" s="916"/>
      <c r="E173" s="916"/>
      <c r="F173" s="916"/>
      <c r="G173" s="916"/>
      <c r="H173" s="916"/>
      <c r="I173" s="916"/>
      <c r="J173" s="916"/>
      <c r="K173" s="916"/>
      <c r="L173" s="916"/>
      <c r="M173" s="916"/>
      <c r="N173" s="916"/>
      <c r="O173" s="925"/>
      <c r="P173" s="925">
        <f t="shared" si="16"/>
        <v>0</v>
      </c>
    </row>
    <row r="174" spans="1:16" x14ac:dyDescent="0.2">
      <c r="B174" t="s">
        <v>9</v>
      </c>
      <c r="C174" s="916"/>
      <c r="D174" s="916"/>
      <c r="E174" s="916"/>
      <c r="F174" s="916"/>
      <c r="G174" s="916"/>
      <c r="H174" s="916"/>
      <c r="I174" s="916"/>
      <c r="J174" s="916"/>
      <c r="K174" s="916"/>
      <c r="L174" s="916"/>
      <c r="M174" s="916"/>
      <c r="N174" s="916"/>
      <c r="O174" s="925">
        <v>-1925000</v>
      </c>
      <c r="P174" s="925">
        <f t="shared" si="16"/>
        <v>-1925000</v>
      </c>
    </row>
    <row r="175" spans="1:16" hidden="1" x14ac:dyDescent="0.2">
      <c r="B175" t="s">
        <v>235</v>
      </c>
      <c r="P175" s="12">
        <f t="shared" si="16"/>
        <v>0</v>
      </c>
    </row>
    <row r="176" spans="1:16" hidden="1" x14ac:dyDescent="0.2">
      <c r="B176" t="s">
        <v>236</v>
      </c>
      <c r="P176" s="12">
        <f t="shared" si="16"/>
        <v>0</v>
      </c>
    </row>
    <row r="177" spans="2:16" hidden="1" x14ac:dyDescent="0.2">
      <c r="B177" t="s">
        <v>237</v>
      </c>
      <c r="P177" s="12">
        <f t="shared" ref="P177:P201" si="17">SUM(C177:O177)</f>
        <v>0</v>
      </c>
    </row>
    <row r="178" spans="2:16" hidden="1" x14ac:dyDescent="0.2">
      <c r="B178" t="s">
        <v>238</v>
      </c>
      <c r="P178" s="12">
        <f t="shared" si="17"/>
        <v>0</v>
      </c>
    </row>
    <row r="179" spans="2:16" hidden="1" x14ac:dyDescent="0.2">
      <c r="B179" t="s">
        <v>239</v>
      </c>
      <c r="P179" s="12">
        <f t="shared" si="17"/>
        <v>0</v>
      </c>
    </row>
    <row r="180" spans="2:16" hidden="1" x14ac:dyDescent="0.2">
      <c r="B180" t="s">
        <v>240</v>
      </c>
      <c r="P180" s="12">
        <f t="shared" si="17"/>
        <v>0</v>
      </c>
    </row>
    <row r="181" spans="2:16" hidden="1" x14ac:dyDescent="0.2">
      <c r="B181" t="s">
        <v>241</v>
      </c>
      <c r="P181" s="12">
        <f t="shared" si="17"/>
        <v>0</v>
      </c>
    </row>
    <row r="182" spans="2:16" hidden="1" x14ac:dyDescent="0.2">
      <c r="B182" t="s">
        <v>242</v>
      </c>
      <c r="P182" s="12">
        <f t="shared" si="17"/>
        <v>0</v>
      </c>
    </row>
    <row r="183" spans="2:16" hidden="1" x14ac:dyDescent="0.2">
      <c r="B183" t="s">
        <v>243</v>
      </c>
      <c r="P183" s="12">
        <f t="shared" si="17"/>
        <v>0</v>
      </c>
    </row>
    <row r="184" spans="2:16" hidden="1" x14ac:dyDescent="0.2">
      <c r="B184" t="s">
        <v>244</v>
      </c>
      <c r="P184" s="12">
        <f t="shared" si="17"/>
        <v>0</v>
      </c>
    </row>
    <row r="185" spans="2:16" hidden="1" x14ac:dyDescent="0.2">
      <c r="B185" s="2" t="s">
        <v>245</v>
      </c>
      <c r="P185" s="12">
        <f t="shared" si="17"/>
        <v>0</v>
      </c>
    </row>
    <row r="186" spans="2:16" hidden="1" x14ac:dyDescent="0.2">
      <c r="B186" t="s">
        <v>246</v>
      </c>
      <c r="P186" s="12">
        <f t="shared" si="17"/>
        <v>0</v>
      </c>
    </row>
    <row r="187" spans="2:16" hidden="1" x14ac:dyDescent="0.2">
      <c r="B187" t="s">
        <v>247</v>
      </c>
      <c r="P187" s="12">
        <f t="shared" si="17"/>
        <v>0</v>
      </c>
    </row>
    <row r="188" spans="2:16" hidden="1" x14ac:dyDescent="0.2">
      <c r="B188" t="s">
        <v>248</v>
      </c>
      <c r="P188" s="12">
        <f t="shared" si="17"/>
        <v>0</v>
      </c>
    </row>
    <row r="189" spans="2:16" hidden="1" x14ac:dyDescent="0.2">
      <c r="B189" t="s">
        <v>249</v>
      </c>
      <c r="P189" s="12">
        <f t="shared" si="17"/>
        <v>0</v>
      </c>
    </row>
    <row r="190" spans="2:16" hidden="1" x14ac:dyDescent="0.2">
      <c r="B190" t="s">
        <v>250</v>
      </c>
      <c r="P190" s="12">
        <f t="shared" si="17"/>
        <v>0</v>
      </c>
    </row>
    <row r="191" spans="2:16" hidden="1" x14ac:dyDescent="0.2">
      <c r="B191" t="s">
        <v>251</v>
      </c>
      <c r="P191" s="12">
        <f t="shared" si="17"/>
        <v>0</v>
      </c>
    </row>
    <row r="192" spans="2:16" hidden="1" x14ac:dyDescent="0.2">
      <c r="B192" t="s">
        <v>252</v>
      </c>
      <c r="P192" s="12">
        <f t="shared" si="17"/>
        <v>0</v>
      </c>
    </row>
    <row r="193" spans="2:16" hidden="1" x14ac:dyDescent="0.2">
      <c r="B193" t="s">
        <v>253</v>
      </c>
      <c r="P193" s="12">
        <f t="shared" si="17"/>
        <v>0</v>
      </c>
    </row>
    <row r="194" spans="2:16" hidden="1" x14ac:dyDescent="0.2">
      <c r="B194" t="s">
        <v>254</v>
      </c>
      <c r="P194" s="12">
        <f t="shared" si="17"/>
        <v>0</v>
      </c>
    </row>
    <row r="195" spans="2:16" hidden="1" x14ac:dyDescent="0.2">
      <c r="B195" t="s">
        <v>255</v>
      </c>
      <c r="P195" s="12">
        <f t="shared" si="17"/>
        <v>0</v>
      </c>
    </row>
    <row r="196" spans="2:16" hidden="1" x14ac:dyDescent="0.2">
      <c r="B196" t="s">
        <v>256</v>
      </c>
      <c r="P196" s="12">
        <f t="shared" si="17"/>
        <v>0</v>
      </c>
    </row>
    <row r="197" spans="2:16" hidden="1" x14ac:dyDescent="0.2">
      <c r="B197" t="s">
        <v>257</v>
      </c>
      <c r="P197" s="12">
        <f t="shared" si="17"/>
        <v>0</v>
      </c>
    </row>
    <row r="198" spans="2:16" hidden="1" x14ac:dyDescent="0.2">
      <c r="B198" t="s">
        <v>258</v>
      </c>
      <c r="P198" s="12">
        <f t="shared" si="17"/>
        <v>0</v>
      </c>
    </row>
    <row r="199" spans="2:16" hidden="1" x14ac:dyDescent="0.2">
      <c r="B199" t="s">
        <v>259</v>
      </c>
      <c r="P199" s="12">
        <f t="shared" si="17"/>
        <v>0</v>
      </c>
    </row>
    <row r="200" spans="2:16" hidden="1" x14ac:dyDescent="0.2">
      <c r="B200" t="s">
        <v>260</v>
      </c>
      <c r="P200" s="12">
        <f t="shared" si="17"/>
        <v>0</v>
      </c>
    </row>
    <row r="201" spans="2:16" hidden="1" x14ac:dyDescent="0.2">
      <c r="P201" s="12">
        <f t="shared" si="17"/>
        <v>0</v>
      </c>
    </row>
  </sheetData>
  <pageMargins left="0.7" right="0.7" top="0.75" bottom="0.75" header="0.3" footer="0.3"/>
  <pageSetup scale="75" orientation="landscape" r:id="rId1"/>
  <rowBreaks count="1" manualBreakCount="1">
    <brk id="50" max="16383" man="1"/>
  </rowBreaks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DCB41-FEF6-4149-A3B2-1BE59E0ECA86}">
  <sheetPr>
    <tabColor rgb="FFFF0000"/>
  </sheetPr>
  <dimension ref="A1:I94"/>
  <sheetViews>
    <sheetView showGridLines="0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62" customWidth="1"/>
    <col min="2" max="2" width="33.28515625" style="62" bestFit="1" customWidth="1"/>
    <col min="3" max="3" width="51" style="60" bestFit="1" customWidth="1"/>
    <col min="4" max="4" width="18.28515625" style="60" customWidth="1"/>
    <col min="5" max="5" width="15.7109375" style="60" bestFit="1" customWidth="1"/>
    <col min="6" max="6" width="18.7109375" style="60" customWidth="1"/>
    <col min="7" max="7" width="24.140625" style="60" bestFit="1" customWidth="1"/>
    <col min="8" max="8" width="17" style="60" bestFit="1" customWidth="1"/>
    <col min="9" max="9" width="9.28515625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477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478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30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9" hidden="1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>
        <v>0</v>
      </c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4206966</v>
      </c>
      <c r="I8" s="92"/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>
        <v>173335</v>
      </c>
      <c r="I9" s="92"/>
    </row>
    <row r="10" spans="1:9" hidden="1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 t="s">
        <v>479</v>
      </c>
      <c r="I10" s="92"/>
    </row>
    <row r="11" spans="1:9" hidden="1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91" t="s">
        <v>479</v>
      </c>
      <c r="I11" s="92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55000</v>
      </c>
      <c r="G12" s="90">
        <v>0</v>
      </c>
      <c r="H12" s="91" t="s">
        <v>479</v>
      </c>
      <c r="I12" s="92"/>
    </row>
    <row r="13" spans="1:9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4000</v>
      </c>
      <c r="G13" s="90">
        <v>0</v>
      </c>
      <c r="H13" s="91" t="s">
        <v>479</v>
      </c>
      <c r="I13" s="92"/>
    </row>
    <row r="14" spans="1:9" hidden="1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 t="s">
        <v>479</v>
      </c>
      <c r="I14" s="92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91">
        <v>415518</v>
      </c>
      <c r="I15" s="92"/>
    </row>
    <row r="16" spans="1:9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13000</v>
      </c>
      <c r="G16" s="90">
        <v>0</v>
      </c>
      <c r="H16" s="91" t="s">
        <v>479</v>
      </c>
      <c r="I16" s="92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 t="s">
        <v>479</v>
      </c>
      <c r="I17" s="92"/>
    </row>
    <row r="18" spans="1:9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48000</v>
      </c>
      <c r="G18" s="90">
        <v>0</v>
      </c>
      <c r="H18" s="91" t="s">
        <v>479</v>
      </c>
      <c r="I18" s="92"/>
    </row>
    <row r="19" spans="1:9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>
        <v>245000</v>
      </c>
      <c r="G19" s="90">
        <v>0</v>
      </c>
      <c r="H19" s="91" t="s">
        <v>479</v>
      </c>
      <c r="I19" s="92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177720</v>
      </c>
      <c r="G20" s="90">
        <v>0</v>
      </c>
      <c r="H20" s="91" t="s">
        <v>479</v>
      </c>
      <c r="I20" s="92"/>
    </row>
    <row r="21" spans="1:9" hidden="1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>
        <v>0</v>
      </c>
      <c r="G21" s="90">
        <v>0</v>
      </c>
      <c r="H21" s="91" t="s">
        <v>479</v>
      </c>
      <c r="I21" s="92"/>
    </row>
    <row r="22" spans="1:9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211850</v>
      </c>
      <c r="G22" s="90">
        <v>0</v>
      </c>
      <c r="H22" s="91" t="s">
        <v>479</v>
      </c>
      <c r="I22" s="92"/>
    </row>
    <row r="23" spans="1:9" hidden="1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>
        <v>0</v>
      </c>
      <c r="G23" s="90">
        <v>0</v>
      </c>
      <c r="H23" s="91" t="s">
        <v>479</v>
      </c>
      <c r="I23" s="92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 t="s">
        <v>479</v>
      </c>
      <c r="I24" s="92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 t="s">
        <v>479</v>
      </c>
      <c r="I25" s="92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 t="s">
        <v>479</v>
      </c>
      <c r="I26" s="92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 t="s">
        <v>479</v>
      </c>
      <c r="I27" s="92"/>
    </row>
    <row r="28" spans="1:9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>
        <v>144700</v>
      </c>
      <c r="G28" s="90">
        <v>0</v>
      </c>
      <c r="H28" s="91" t="s">
        <v>479</v>
      </c>
      <c r="I28" s="92"/>
    </row>
    <row r="29" spans="1:9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>
        <v>2500</v>
      </c>
      <c r="G29" s="90">
        <v>0</v>
      </c>
      <c r="H29" s="91" t="s">
        <v>479</v>
      </c>
      <c r="I29" s="92"/>
    </row>
    <row r="30" spans="1:9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72851</v>
      </c>
      <c r="G30" s="90">
        <v>0</v>
      </c>
      <c r="H30" s="91" t="s">
        <v>479</v>
      </c>
      <c r="I30" s="92"/>
    </row>
    <row r="31" spans="1:9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570503</v>
      </c>
      <c r="G31" s="90">
        <v>0</v>
      </c>
      <c r="H31" s="91" t="s">
        <v>479</v>
      </c>
      <c r="I31" s="92"/>
    </row>
    <row r="32" spans="1:9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14350</v>
      </c>
      <c r="G32" s="90">
        <v>0</v>
      </c>
      <c r="H32" s="91" t="s">
        <v>479</v>
      </c>
      <c r="I32" s="92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1559474</v>
      </c>
      <c r="G33" s="104">
        <f>SUM(G6:G32)</f>
        <v>0</v>
      </c>
      <c r="H33" s="106">
        <f>SUM(H6:H32)</f>
        <v>4795819</v>
      </c>
      <c r="I33" s="107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112"/>
    </row>
    <row r="35" spans="1:9" hidden="1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>
        <v>0</v>
      </c>
      <c r="G35" s="90">
        <v>0</v>
      </c>
      <c r="H35" s="91">
        <v>0</v>
      </c>
      <c r="I35" s="92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23483696.42404386</v>
      </c>
      <c r="G36" s="90">
        <v>0</v>
      </c>
      <c r="H36" s="91"/>
      <c r="I36" s="120"/>
    </row>
    <row r="37" spans="1:9" hidden="1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>
        <v>0</v>
      </c>
      <c r="G37" s="90">
        <v>0</v>
      </c>
      <c r="H37" s="91"/>
      <c r="I37" s="92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5065764.9520215904</v>
      </c>
      <c r="G38" s="90">
        <v>0</v>
      </c>
      <c r="H38" s="91">
        <v>0</v>
      </c>
      <c r="I38" s="12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344705.15006270789</v>
      </c>
      <c r="G39" s="90">
        <v>0</v>
      </c>
      <c r="H39" s="91"/>
      <c r="I39" s="92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505779.6951829337</v>
      </c>
      <c r="G40" s="90">
        <v>0</v>
      </c>
      <c r="H40" s="91"/>
      <c r="I40" s="92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>
        <v>0</v>
      </c>
      <c r="G41" s="90">
        <v>0</v>
      </c>
      <c r="H41" s="91"/>
      <c r="I41" s="92"/>
    </row>
    <row r="42" spans="1:9" s="130" customFormat="1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>
        <v>1639454</v>
      </c>
      <c r="G42" s="306">
        <v>0</v>
      </c>
      <c r="H42" s="307">
        <v>0</v>
      </c>
      <c r="I42" s="129"/>
    </row>
    <row r="43" spans="1:9" hidden="1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>
        <v>0</v>
      </c>
      <c r="G43" s="90">
        <v>0</v>
      </c>
      <c r="H43" s="91"/>
      <c r="I43" s="92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2137825.6583428551</v>
      </c>
      <c r="G44" s="90">
        <v>0</v>
      </c>
      <c r="H44" s="91"/>
      <c r="I44" s="92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>
        <v>125277</v>
      </c>
      <c r="G45" s="90">
        <v>0</v>
      </c>
      <c r="H45" s="91"/>
      <c r="I45" s="92"/>
    </row>
    <row r="46" spans="1:9" hidden="1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>
        <v>0</v>
      </c>
      <c r="G46" s="90">
        <v>0</v>
      </c>
      <c r="H46" s="91">
        <v>0</v>
      </c>
      <c r="I46" s="92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>
        <v>0</v>
      </c>
      <c r="G47" s="90">
        <v>0</v>
      </c>
      <c r="H47" s="91">
        <v>0</v>
      </c>
      <c r="I47" s="133"/>
    </row>
    <row r="48" spans="1:9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>
        <v>200000</v>
      </c>
      <c r="G48" s="90">
        <v>0</v>
      </c>
      <c r="H48" s="91">
        <v>0</v>
      </c>
      <c r="I48" s="92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33502502.879653946</v>
      </c>
      <c r="G49" s="104">
        <f>SUM(G34:G48)</f>
        <v>0</v>
      </c>
      <c r="H49" s="106">
        <f>SUM(H34:H48)</f>
        <v>0</v>
      </c>
      <c r="I49" s="107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112"/>
    </row>
    <row r="51" spans="1:9" hidden="1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0</v>
      </c>
      <c r="G51" s="143">
        <v>0</v>
      </c>
      <c r="H51" s="111">
        <v>0</v>
      </c>
      <c r="I51" s="92"/>
    </row>
    <row r="52" spans="1:9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>
        <v>149370</v>
      </c>
      <c r="G52" s="143">
        <v>0</v>
      </c>
      <c r="H52" s="111">
        <v>0</v>
      </c>
      <c r="I52" s="92"/>
    </row>
    <row r="53" spans="1:9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>
        <v>3587331</v>
      </c>
      <c r="G53" s="143">
        <v>0</v>
      </c>
      <c r="H53" s="111">
        <v>0</v>
      </c>
      <c r="I53" s="92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v>44950</v>
      </c>
      <c r="G54" s="143">
        <v>0</v>
      </c>
      <c r="H54" s="111">
        <v>0</v>
      </c>
      <c r="I54" s="92"/>
    </row>
    <row r="55" spans="1:9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>
        <v>424480</v>
      </c>
      <c r="G55" s="143">
        <v>0</v>
      </c>
      <c r="H55" s="111">
        <v>0</v>
      </c>
      <c r="I55" s="92"/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>
        <v>0</v>
      </c>
      <c r="G56" s="143">
        <v>0</v>
      </c>
      <c r="H56" s="111">
        <v>0</v>
      </c>
      <c r="I56" s="92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4206131</v>
      </c>
      <c r="G57" s="104">
        <f t="shared" si="0"/>
        <v>0</v>
      </c>
      <c r="H57" s="106">
        <f t="shared" si="0"/>
        <v>0</v>
      </c>
      <c r="I57" s="107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112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>
        <v>0</v>
      </c>
      <c r="G59" s="143">
        <v>0</v>
      </c>
      <c r="H59" s="111" t="s">
        <v>479</v>
      </c>
      <c r="I59" s="92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>
        <v>0</v>
      </c>
      <c r="G60" s="143">
        <v>0</v>
      </c>
      <c r="H60" s="111" t="s">
        <v>479</v>
      </c>
      <c r="I60" s="92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>
        <v>0</v>
      </c>
      <c r="G61" s="143">
        <v>0</v>
      </c>
      <c r="H61" s="111" t="s">
        <v>479</v>
      </c>
      <c r="I61" s="92"/>
    </row>
    <row r="62" spans="1:9" hidden="1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0</v>
      </c>
      <c r="G62" s="143">
        <v>0</v>
      </c>
      <c r="H62" s="111">
        <v>0</v>
      </c>
      <c r="I62" s="92"/>
    </row>
    <row r="63" spans="1:9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>
        <v>5000</v>
      </c>
      <c r="G63" s="143">
        <v>0</v>
      </c>
      <c r="H63" s="111">
        <v>0</v>
      </c>
      <c r="I63" s="92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>
        <v>0</v>
      </c>
      <c r="G64" s="143">
        <v>0</v>
      </c>
      <c r="H64" s="111" t="s">
        <v>479</v>
      </c>
      <c r="I64" s="92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>
        <v>0</v>
      </c>
      <c r="G65" s="143">
        <v>0</v>
      </c>
      <c r="H65" s="111" t="s">
        <v>479</v>
      </c>
      <c r="I65" s="92"/>
    </row>
    <row r="66" spans="1:9" hidden="1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>
        <v>0</v>
      </c>
      <c r="G66" s="143">
        <v>0</v>
      </c>
      <c r="H66" s="111" t="s">
        <v>479</v>
      </c>
      <c r="I66" s="92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5000</v>
      </c>
      <c r="G67" s="157">
        <f>SUM(G58:G66)</f>
        <v>0</v>
      </c>
      <c r="H67" s="159">
        <f>SUM(H58:H66)</f>
        <v>0</v>
      </c>
      <c r="I67" s="92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92"/>
    </row>
    <row r="69" spans="1:9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248379</v>
      </c>
      <c r="G69" s="143">
        <v>0</v>
      </c>
      <c r="H69" s="111">
        <v>0</v>
      </c>
      <c r="I69" s="92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8400440</v>
      </c>
      <c r="G70" s="143">
        <v>0</v>
      </c>
      <c r="H70" s="111">
        <v>0</v>
      </c>
      <c r="I70" s="92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8648819</v>
      </c>
      <c r="G71" s="157">
        <f t="shared" si="1"/>
        <v>0</v>
      </c>
      <c r="H71" s="159">
        <f>SUM(H68:H70)</f>
        <v>0</v>
      </c>
      <c r="I71" s="92"/>
    </row>
    <row r="72" spans="1:9" hidden="1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92"/>
    </row>
    <row r="73" spans="1:9" hidden="1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92"/>
    </row>
    <row r="74" spans="1:9" ht="15.75" thickBot="1" x14ac:dyDescent="0.3">
      <c r="A74" s="169" t="s">
        <v>423</v>
      </c>
      <c r="B74" s="170"/>
      <c r="C74" s="171"/>
      <c r="D74" s="172">
        <f>'PCFP - All Revenue AA-1 R-2'!D33+'PCFP - All Revenue AA-1 R-2'!D49+'PCFP - All Revenue AA-1 R-2'!D57+'PCFP - All Revenue AA-1 R-2'!D71+'PCFP - All Revenue AA-1 R-2'!D67</f>
        <v>0</v>
      </c>
      <c r="E74" s="172">
        <f>'PCFP - All Revenue AA-1 R-2'!E33+'PCFP - All Revenue AA-1 R-2'!E49+'PCFP - All Revenue AA-1 R-2'!E57+'PCFP - All Revenue AA-1 R-2'!E71+'PCFP - All Revenue AA-1 R-2'!E67</f>
        <v>0</v>
      </c>
      <c r="F74" s="173">
        <f>'PCFP - All Revenue AA-1 R-2'!F33+'PCFP - All Revenue AA-1 R-2'!F49+'PCFP - All Revenue AA-1 R-2'!F57+'PCFP - All Revenue AA-1 R-2'!F71+'PCFP - All Revenue AA-1 R-2'!F67</f>
        <v>47921926.879653946</v>
      </c>
      <c r="G74" s="172">
        <f>'PCFP - All Revenue AA-1 R-2'!G33+'PCFP - All Revenue AA-1 R-2'!G49+'PCFP - All Revenue AA-1 R-2'!G57+'PCFP - All Revenue AA-1 R-2'!G71+'PCFP - All Revenue AA-1 R-2'!G67</f>
        <v>0</v>
      </c>
      <c r="H74" s="174">
        <f>'PCFP - All Revenue AA-1 R-2'!H33+'PCFP - All Revenue AA-1 R-2'!H49+'PCFP - All Revenue AA-1 R-2'!H57+'PCFP - All Revenue AA-1 R-2'!H71+'PCFP - All Revenue AA-1 R-2'!H67</f>
        <v>4795819</v>
      </c>
      <c r="I74" s="92"/>
    </row>
    <row r="75" spans="1:9" s="204" customFormat="1" ht="15.75" thickTop="1" x14ac:dyDescent="0.25">
      <c r="A75" s="169"/>
      <c r="B75" s="308"/>
      <c r="C75" s="216" t="s">
        <v>480</v>
      </c>
      <c r="D75" s="309"/>
      <c r="E75" s="309"/>
      <c r="F75" s="310"/>
      <c r="G75" s="309"/>
      <c r="H75" s="111">
        <v>1650000</v>
      </c>
      <c r="I75" s="219"/>
    </row>
    <row r="76" spans="1:9" ht="15" x14ac:dyDescent="0.25">
      <c r="A76" s="175"/>
      <c r="B76" s="176" t="s">
        <v>10</v>
      </c>
      <c r="C76" s="177" t="s">
        <v>424</v>
      </c>
      <c r="D76" s="143"/>
      <c r="E76" s="152"/>
      <c r="F76" s="144">
        <v>1925000</v>
      </c>
      <c r="G76" s="143"/>
      <c r="H76" s="111">
        <v>0</v>
      </c>
      <c r="I76" s="92"/>
    </row>
    <row r="77" spans="1:9" ht="15" hidden="1" x14ac:dyDescent="0.25">
      <c r="A77" s="175"/>
      <c r="B77" s="179" t="s">
        <v>10</v>
      </c>
      <c r="C77" s="177" t="s">
        <v>425</v>
      </c>
      <c r="D77" s="143"/>
      <c r="E77" s="88"/>
      <c r="F77" s="144"/>
      <c r="G77" s="143"/>
      <c r="H77" s="111">
        <v>0</v>
      </c>
      <c r="I77" s="92"/>
    </row>
    <row r="78" spans="1:9" ht="15" hidden="1" x14ac:dyDescent="0.25">
      <c r="A78" s="175"/>
      <c r="B78" s="179" t="s">
        <v>10</v>
      </c>
      <c r="C78" s="177" t="s">
        <v>426</v>
      </c>
      <c r="D78" s="143"/>
      <c r="E78" s="88"/>
      <c r="F78" s="144"/>
      <c r="G78" s="143"/>
      <c r="H78" s="111">
        <v>0</v>
      </c>
      <c r="I78" s="92"/>
    </row>
    <row r="79" spans="1:9" ht="15.75" hidden="1" thickBot="1" x14ac:dyDescent="0.3">
      <c r="A79" s="180"/>
      <c r="B79" s="181" t="s">
        <v>10</v>
      </c>
      <c r="C79" s="182" t="s">
        <v>427</v>
      </c>
      <c r="D79" s="157"/>
      <c r="E79" s="167"/>
      <c r="F79" s="158"/>
      <c r="G79" s="157"/>
      <c r="H79" s="183">
        <v>0</v>
      </c>
      <c r="I79" s="92"/>
    </row>
    <row r="80" spans="1:9" ht="15" x14ac:dyDescent="0.25">
      <c r="A80" s="184"/>
      <c r="B80" s="185"/>
      <c r="C80" s="186"/>
      <c r="D80" s="187">
        <f>SUM(D76:D79)</f>
        <v>0</v>
      </c>
      <c r="E80" s="187">
        <f t="shared" ref="E80:G80" si="2">SUM(E76:E79)</f>
        <v>0</v>
      </c>
      <c r="F80" s="187">
        <f t="shared" si="2"/>
        <v>1925000</v>
      </c>
      <c r="G80" s="187">
        <f t="shared" si="2"/>
        <v>0</v>
      </c>
      <c r="H80" s="187">
        <f>SUM(H75:H79)</f>
        <v>1650000</v>
      </c>
    </row>
    <row r="81" spans="1:8" x14ac:dyDescent="0.2">
      <c r="A81" s="189"/>
      <c r="B81" s="189"/>
      <c r="C81" s="190"/>
      <c r="D81" s="190"/>
      <c r="E81" s="190"/>
      <c r="F81" s="208"/>
      <c r="G81" s="190"/>
      <c r="H81" s="208"/>
    </row>
    <row r="82" spans="1:8" x14ac:dyDescent="0.2">
      <c r="A82" s="94"/>
      <c r="B82" s="94"/>
      <c r="C82" s="275" t="str">
        <f>C1</f>
        <v>Churchill County School District</v>
      </c>
      <c r="D82" s="190" t="s">
        <v>428</v>
      </c>
      <c r="E82" s="190"/>
      <c r="F82" s="195" t="s">
        <v>481</v>
      </c>
      <c r="G82" s="196"/>
      <c r="H82" s="208"/>
    </row>
    <row r="83" spans="1:8" x14ac:dyDescent="0.2">
      <c r="A83" s="98"/>
      <c r="B83" s="98"/>
      <c r="C83" s="279" t="s">
        <v>429</v>
      </c>
      <c r="D83" s="189" t="s">
        <v>430</v>
      </c>
      <c r="E83" s="190"/>
      <c r="F83" s="190"/>
      <c r="G83" s="192" t="str">
        <f>"Budget Fiscal Year "&amp;TEXT('[2]Form 1'!$C$136, "mm/dd/yy")</f>
        <v>Budget Fiscal Year 2019-2020</v>
      </c>
      <c r="H83" s="190"/>
    </row>
    <row r="84" spans="1:8" x14ac:dyDescent="0.2">
      <c r="A84" s="189"/>
      <c r="B84" s="189"/>
      <c r="C84" s="190"/>
      <c r="D84" s="190"/>
      <c r="E84" s="190"/>
      <c r="F84" s="194"/>
      <c r="G84" s="192" t="s">
        <v>431</v>
      </c>
      <c r="H84" s="197"/>
    </row>
    <row r="85" spans="1:8" ht="15" x14ac:dyDescent="0.25">
      <c r="D85" s="204" t="s">
        <v>482</v>
      </c>
      <c r="E85"/>
      <c r="F85" s="311"/>
      <c r="G85"/>
    </row>
    <row r="86" spans="1:8" ht="15" x14ac:dyDescent="0.25">
      <c r="D86" s="60" t="s">
        <v>483</v>
      </c>
      <c r="E86"/>
      <c r="F86" s="311">
        <v>49212807</v>
      </c>
      <c r="G86" s="312" t="s">
        <v>484</v>
      </c>
    </row>
    <row r="87" spans="1:8" ht="15" x14ac:dyDescent="0.25">
      <c r="D87" s="60" t="s">
        <v>485</v>
      </c>
      <c r="E87"/>
      <c r="F87" s="311">
        <v>-32828652</v>
      </c>
      <c r="G87" s="312" t="s">
        <v>486</v>
      </c>
    </row>
    <row r="88" spans="1:8" ht="15" x14ac:dyDescent="0.25">
      <c r="D88" s="60" t="s">
        <v>487</v>
      </c>
      <c r="E88"/>
      <c r="F88" s="311">
        <v>32088979</v>
      </c>
      <c r="G88" s="313">
        <v>739673</v>
      </c>
    </row>
    <row r="89" spans="1:8" x14ac:dyDescent="0.2">
      <c r="D89" s="60" t="s">
        <v>488</v>
      </c>
      <c r="E89"/>
      <c r="F89" s="311">
        <v>6445819</v>
      </c>
      <c r="G89"/>
    </row>
    <row r="90" spans="1:8" x14ac:dyDescent="0.2">
      <c r="D90" s="60" t="s">
        <v>489</v>
      </c>
      <c r="E90"/>
      <c r="F90" s="311">
        <v>1925000</v>
      </c>
    </row>
    <row r="91" spans="1:8" x14ac:dyDescent="0.2">
      <c r="D91"/>
      <c r="E91" s="60" t="s">
        <v>490</v>
      </c>
      <c r="F91" s="314">
        <v>56843953</v>
      </c>
    </row>
    <row r="92" spans="1:8" x14ac:dyDescent="0.2">
      <c r="D92"/>
      <c r="E92" s="60" t="s">
        <v>491</v>
      </c>
      <c r="F92" s="311">
        <v>56843953</v>
      </c>
    </row>
    <row r="93" spans="1:8" ht="15" thickBot="1" x14ac:dyDescent="0.25">
      <c r="D93"/>
      <c r="E93" s="60" t="s">
        <v>132</v>
      </c>
      <c r="F93" s="315">
        <v>0</v>
      </c>
    </row>
    <row r="94" spans="1:8" ht="15" thickTop="1" x14ac:dyDescent="0.2">
      <c r="D94"/>
      <c r="E94"/>
      <c r="F94" s="311">
        <v>0</v>
      </c>
    </row>
  </sheetData>
  <pageMargins left="0.2" right="0.2" top="0.25" bottom="0.25" header="0.05" footer="0.05"/>
  <pageSetup paperSize="5" scale="90" fitToHeight="2" orientation="landscape" r:id="rId1"/>
  <rowBreaks count="1" manualBreakCount="1">
    <brk id="49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3EC7-28C2-4A60-859B-2B9673E909C8}">
  <sheetPr>
    <tabColor rgb="FFFFFF00"/>
  </sheetPr>
  <dimension ref="A1:L151"/>
  <sheetViews>
    <sheetView showGridLines="0" zoomScale="85" zoomScaleNormal="85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J54" sqref="J54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2" style="277" hidden="1" customWidth="1"/>
    <col min="10" max="10" width="17.7109375" style="277" customWidth="1"/>
    <col min="11" max="11" width="11.570312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x14ac:dyDescent="0.2">
      <c r="A1" s="275"/>
      <c r="B1" s="275" t="str">
        <f>'PCFP - All Revenue AA-1 R-2'!C82</f>
        <v>Churchill County School District</v>
      </c>
      <c r="C1" s="274" t="s">
        <v>428</v>
      </c>
      <c r="D1" s="274"/>
      <c r="E1" s="276"/>
      <c r="F1" s="276"/>
      <c r="G1" s="276"/>
      <c r="H1" s="280" t="s">
        <v>492</v>
      </c>
      <c r="I1" s="280"/>
      <c r="J1" s="191" t="s">
        <v>493</v>
      </c>
    </row>
    <row r="2" spans="1:11" x14ac:dyDescent="0.2">
      <c r="A2" s="279"/>
      <c r="B2" s="279" t="s">
        <v>460</v>
      </c>
      <c r="C2" s="274" t="s">
        <v>430</v>
      </c>
      <c r="D2" s="274"/>
      <c r="E2" s="274"/>
      <c r="F2" s="274"/>
      <c r="G2" s="274"/>
      <c r="J2" s="278" t="str">
        <f>"Budget Fiscal Year "&amp;TEXT('[2]Form 1'!$C$136, "mm/dd/yy")</f>
        <v>Budget Fiscal Year 2019-2020</v>
      </c>
    </row>
    <row r="3" spans="1:11" x14ac:dyDescent="0.2">
      <c r="J3" s="280" t="s">
        <v>461</v>
      </c>
    </row>
    <row r="4" spans="1:11" s="204" customFormat="1" ht="62.25" customHeight="1" thickBot="1" x14ac:dyDescent="0.3">
      <c r="A4" s="198"/>
      <c r="B4" s="199" t="s">
        <v>432</v>
      </c>
      <c r="C4" s="200" t="s">
        <v>433</v>
      </c>
      <c r="D4" s="200" t="s">
        <v>434</v>
      </c>
      <c r="E4" s="200" t="s">
        <v>435</v>
      </c>
      <c r="F4" s="200" t="s">
        <v>436</v>
      </c>
      <c r="G4" s="200" t="s">
        <v>437</v>
      </c>
      <c r="H4" s="200" t="s">
        <v>438</v>
      </c>
      <c r="I4" s="201" t="s">
        <v>494</v>
      </c>
      <c r="J4" s="202" t="s">
        <v>440</v>
      </c>
      <c r="K4" s="203" t="s">
        <v>325</v>
      </c>
    </row>
    <row r="5" spans="1:11" ht="18.75" customHeight="1" x14ac:dyDescent="0.25">
      <c r="A5" s="205" t="s">
        <v>442</v>
      </c>
      <c r="B5" s="206"/>
      <c r="C5" s="207"/>
      <c r="D5" s="207"/>
      <c r="E5" s="207"/>
      <c r="F5" s="207"/>
      <c r="G5" s="207"/>
      <c r="H5" s="207"/>
      <c r="I5" s="208"/>
      <c r="J5" s="209"/>
      <c r="K5" s="112"/>
    </row>
    <row r="6" spans="1:11" x14ac:dyDescent="0.2">
      <c r="A6" s="116">
        <v>100</v>
      </c>
      <c r="B6" s="95" t="s">
        <v>134</v>
      </c>
      <c r="C6" s="89">
        <v>8232869</v>
      </c>
      <c r="D6" s="89">
        <v>3997430</v>
      </c>
      <c r="E6" s="89">
        <v>312628</v>
      </c>
      <c r="F6" s="89" t="s">
        <v>479</v>
      </c>
      <c r="G6" s="89" t="s">
        <v>495</v>
      </c>
      <c r="H6" s="89" t="s">
        <v>496</v>
      </c>
      <c r="I6" s="214" t="s">
        <v>497</v>
      </c>
      <c r="J6" s="89">
        <f>SUM(C6:I6)</f>
        <v>12542927</v>
      </c>
      <c r="K6" s="92"/>
    </row>
    <row r="7" spans="1:11" hidden="1" x14ac:dyDescent="0.2">
      <c r="A7" s="116">
        <v>200</v>
      </c>
      <c r="B7" s="95" t="s">
        <v>135</v>
      </c>
      <c r="C7" s="89" t="s">
        <v>479</v>
      </c>
      <c r="D7" s="89" t="s">
        <v>479</v>
      </c>
      <c r="E7" s="89" t="s">
        <v>498</v>
      </c>
      <c r="F7" s="89" t="s">
        <v>479</v>
      </c>
      <c r="G7" s="89" t="s">
        <v>495</v>
      </c>
      <c r="H7" s="89" t="s">
        <v>496</v>
      </c>
      <c r="I7" s="214" t="s">
        <v>497</v>
      </c>
      <c r="J7" s="89">
        <f t="shared" ref="J7:J70" si="0">SUM(C7:I7)</f>
        <v>0</v>
      </c>
      <c r="K7" s="92"/>
    </row>
    <row r="8" spans="1:11" hidden="1" x14ac:dyDescent="0.2">
      <c r="A8" s="210" t="s">
        <v>10</v>
      </c>
      <c r="B8" s="211" t="s">
        <v>136</v>
      </c>
      <c r="C8" s="89" t="s">
        <v>479</v>
      </c>
      <c r="D8" s="89" t="s">
        <v>479</v>
      </c>
      <c r="E8" s="89" t="s">
        <v>498</v>
      </c>
      <c r="F8" s="89" t="s">
        <v>479</v>
      </c>
      <c r="G8" s="89" t="s">
        <v>495</v>
      </c>
      <c r="H8" s="89" t="s">
        <v>496</v>
      </c>
      <c r="I8" s="214" t="s">
        <v>497</v>
      </c>
      <c r="J8" s="89">
        <f t="shared" si="0"/>
        <v>0</v>
      </c>
      <c r="K8" s="212"/>
    </row>
    <row r="9" spans="1:11" hidden="1" x14ac:dyDescent="0.2">
      <c r="A9" s="116">
        <v>270</v>
      </c>
      <c r="B9" s="95" t="s">
        <v>137</v>
      </c>
      <c r="C9" s="89" t="s">
        <v>479</v>
      </c>
      <c r="D9" s="89" t="s">
        <v>479</v>
      </c>
      <c r="E9" s="89" t="s">
        <v>498</v>
      </c>
      <c r="F9" s="89" t="s">
        <v>479</v>
      </c>
      <c r="G9" s="89" t="s">
        <v>495</v>
      </c>
      <c r="H9" s="89" t="s">
        <v>496</v>
      </c>
      <c r="I9" s="214" t="s">
        <v>497</v>
      </c>
      <c r="J9" s="89">
        <f t="shared" si="0"/>
        <v>0</v>
      </c>
      <c r="K9" s="92"/>
    </row>
    <row r="10" spans="1:11" hidden="1" x14ac:dyDescent="0.2">
      <c r="A10" s="210" t="s">
        <v>10</v>
      </c>
      <c r="B10" s="211" t="s">
        <v>138</v>
      </c>
      <c r="C10" s="89" t="s">
        <v>479</v>
      </c>
      <c r="D10" s="89" t="s">
        <v>479</v>
      </c>
      <c r="E10" s="89" t="s">
        <v>498</v>
      </c>
      <c r="F10" s="89" t="s">
        <v>479</v>
      </c>
      <c r="G10" s="89" t="s">
        <v>495</v>
      </c>
      <c r="H10" s="89" t="s">
        <v>496</v>
      </c>
      <c r="I10" s="214" t="s">
        <v>497</v>
      </c>
      <c r="J10" s="89">
        <f t="shared" si="0"/>
        <v>0</v>
      </c>
      <c r="K10" s="212"/>
    </row>
    <row r="11" spans="1:11" x14ac:dyDescent="0.2">
      <c r="A11" s="116">
        <v>300</v>
      </c>
      <c r="B11" s="95" t="s">
        <v>139</v>
      </c>
      <c r="C11" s="89">
        <v>416709</v>
      </c>
      <c r="D11" s="89">
        <v>218876</v>
      </c>
      <c r="E11" s="89">
        <v>9423</v>
      </c>
      <c r="F11" s="89" t="s">
        <v>479</v>
      </c>
      <c r="G11" s="89" t="s">
        <v>495</v>
      </c>
      <c r="H11" s="89" t="s">
        <v>496</v>
      </c>
      <c r="I11" s="214" t="s">
        <v>497</v>
      </c>
      <c r="J11" s="89">
        <f t="shared" si="0"/>
        <v>645008</v>
      </c>
      <c r="K11" s="92"/>
    </row>
    <row r="12" spans="1:11" x14ac:dyDescent="0.2">
      <c r="A12" s="116">
        <v>400</v>
      </c>
      <c r="B12" s="95" t="s">
        <v>140</v>
      </c>
      <c r="C12" s="89">
        <v>147740</v>
      </c>
      <c r="D12" s="89">
        <v>79305</v>
      </c>
      <c r="E12" s="89">
        <v>16966</v>
      </c>
      <c r="F12" s="89" t="s">
        <v>479</v>
      </c>
      <c r="G12" s="89" t="s">
        <v>495</v>
      </c>
      <c r="H12" s="89" t="s">
        <v>496</v>
      </c>
      <c r="I12" s="214" t="s">
        <v>497</v>
      </c>
      <c r="J12" s="89">
        <f t="shared" si="0"/>
        <v>244011</v>
      </c>
      <c r="K12" s="92"/>
    </row>
    <row r="13" spans="1:11" hidden="1" x14ac:dyDescent="0.2">
      <c r="A13" s="210" t="s">
        <v>10</v>
      </c>
      <c r="B13" s="211" t="s">
        <v>141</v>
      </c>
      <c r="C13" s="89" t="s">
        <v>479</v>
      </c>
      <c r="D13" s="89" t="s">
        <v>479</v>
      </c>
      <c r="E13" s="89" t="s">
        <v>498</v>
      </c>
      <c r="F13" s="89" t="s">
        <v>479</v>
      </c>
      <c r="G13" s="89" t="s">
        <v>495</v>
      </c>
      <c r="H13" s="89" t="s">
        <v>496</v>
      </c>
      <c r="I13" s="214" t="s">
        <v>497</v>
      </c>
      <c r="J13" s="89">
        <f t="shared" si="0"/>
        <v>0</v>
      </c>
      <c r="K13" s="212"/>
    </row>
    <row r="14" spans="1:11" hidden="1" x14ac:dyDescent="0.2">
      <c r="A14" s="210" t="s">
        <v>10</v>
      </c>
      <c r="B14" s="211" t="s">
        <v>142</v>
      </c>
      <c r="C14" s="89" t="s">
        <v>479</v>
      </c>
      <c r="D14" s="89" t="s">
        <v>479</v>
      </c>
      <c r="E14" s="89" t="s">
        <v>498</v>
      </c>
      <c r="F14" s="89" t="s">
        <v>479</v>
      </c>
      <c r="G14" s="89" t="s">
        <v>495</v>
      </c>
      <c r="H14" s="89" t="s">
        <v>496</v>
      </c>
      <c r="I14" s="214" t="s">
        <v>497</v>
      </c>
      <c r="J14" s="89">
        <f t="shared" si="0"/>
        <v>0</v>
      </c>
      <c r="K14" s="212"/>
    </row>
    <row r="15" spans="1:11" x14ac:dyDescent="0.2">
      <c r="A15" s="116">
        <v>440</v>
      </c>
      <c r="B15" s="95" t="s">
        <v>143</v>
      </c>
      <c r="C15" s="89">
        <v>8730</v>
      </c>
      <c r="D15" s="89">
        <v>330</v>
      </c>
      <c r="E15" s="89" t="s">
        <v>498</v>
      </c>
      <c r="F15" s="89" t="s">
        <v>479</v>
      </c>
      <c r="G15" s="89" t="s">
        <v>495</v>
      </c>
      <c r="H15" s="89" t="s">
        <v>496</v>
      </c>
      <c r="I15" s="214" t="s">
        <v>497</v>
      </c>
      <c r="J15" s="89">
        <f t="shared" si="0"/>
        <v>9060</v>
      </c>
      <c r="K15" s="92"/>
    </row>
    <row r="16" spans="1:11" hidden="1" x14ac:dyDescent="0.2">
      <c r="A16" s="116">
        <v>500</v>
      </c>
      <c r="B16" s="95" t="s">
        <v>144</v>
      </c>
      <c r="C16" s="89" t="s">
        <v>479</v>
      </c>
      <c r="D16" s="89" t="s">
        <v>479</v>
      </c>
      <c r="E16" s="89" t="s">
        <v>498</v>
      </c>
      <c r="F16" s="89" t="s">
        <v>479</v>
      </c>
      <c r="G16" s="89" t="s">
        <v>495</v>
      </c>
      <c r="H16" s="89" t="s">
        <v>496</v>
      </c>
      <c r="I16" s="214" t="s">
        <v>497</v>
      </c>
      <c r="J16" s="89">
        <f t="shared" si="0"/>
        <v>0</v>
      </c>
      <c r="K16" s="92"/>
    </row>
    <row r="17" spans="1:11" hidden="1" x14ac:dyDescent="0.2">
      <c r="A17" s="116">
        <v>600</v>
      </c>
      <c r="B17" s="95" t="s">
        <v>145</v>
      </c>
      <c r="C17" s="89" t="s">
        <v>479</v>
      </c>
      <c r="D17" s="89" t="s">
        <v>479</v>
      </c>
      <c r="E17" s="89" t="s">
        <v>498</v>
      </c>
      <c r="F17" s="89" t="s">
        <v>479</v>
      </c>
      <c r="G17" s="89" t="s">
        <v>495</v>
      </c>
      <c r="H17" s="89" t="s">
        <v>496</v>
      </c>
      <c r="I17" s="214" t="s">
        <v>497</v>
      </c>
      <c r="J17" s="89">
        <f t="shared" si="0"/>
        <v>0</v>
      </c>
      <c r="K17" s="92"/>
    </row>
    <row r="18" spans="1:11" x14ac:dyDescent="0.2">
      <c r="A18" s="116">
        <v>800</v>
      </c>
      <c r="B18" s="95" t="s">
        <v>146</v>
      </c>
      <c r="C18" s="89">
        <v>9078</v>
      </c>
      <c r="D18" s="89">
        <v>6106</v>
      </c>
      <c r="E18" s="89" t="s">
        <v>498</v>
      </c>
      <c r="F18" s="89" t="s">
        <v>479</v>
      </c>
      <c r="G18" s="89" t="s">
        <v>495</v>
      </c>
      <c r="H18" s="89" t="s">
        <v>496</v>
      </c>
      <c r="I18" s="214" t="s">
        <v>497</v>
      </c>
      <c r="J18" s="89">
        <f t="shared" si="0"/>
        <v>15184</v>
      </c>
      <c r="K18" s="92"/>
    </row>
    <row r="19" spans="1:11" x14ac:dyDescent="0.2">
      <c r="A19" s="116">
        <v>910</v>
      </c>
      <c r="B19" s="95" t="s">
        <v>147</v>
      </c>
      <c r="C19" s="89">
        <v>52132</v>
      </c>
      <c r="D19" s="89">
        <v>2313</v>
      </c>
      <c r="E19" s="89">
        <v>28149</v>
      </c>
      <c r="F19" s="89" t="s">
        <v>479</v>
      </c>
      <c r="G19" s="89" t="s">
        <v>495</v>
      </c>
      <c r="H19" s="89" t="s">
        <v>496</v>
      </c>
      <c r="I19" s="214" t="s">
        <v>497</v>
      </c>
      <c r="J19" s="89">
        <f t="shared" si="0"/>
        <v>82594</v>
      </c>
      <c r="K19" s="92"/>
    </row>
    <row r="20" spans="1:11" x14ac:dyDescent="0.2">
      <c r="A20" s="116">
        <v>920</v>
      </c>
      <c r="B20" s="95" t="s">
        <v>148</v>
      </c>
      <c r="C20" s="89">
        <v>273482</v>
      </c>
      <c r="D20" s="89">
        <v>51544</v>
      </c>
      <c r="E20" s="89">
        <v>196100</v>
      </c>
      <c r="F20" s="89" t="s">
        <v>479</v>
      </c>
      <c r="G20" s="89" t="s">
        <v>495</v>
      </c>
      <c r="H20" s="89" t="s">
        <v>496</v>
      </c>
      <c r="I20" s="214" t="s">
        <v>497</v>
      </c>
      <c r="J20" s="89">
        <f t="shared" si="0"/>
        <v>521126</v>
      </c>
      <c r="K20" s="92"/>
    </row>
    <row r="21" spans="1:11" ht="2.25" customHeight="1" x14ac:dyDescent="0.2">
      <c r="A21" s="116"/>
      <c r="B21" s="95"/>
      <c r="C21" s="89"/>
      <c r="D21" s="89"/>
      <c r="E21" s="89"/>
      <c r="F21" s="89"/>
      <c r="G21" s="89"/>
      <c r="H21" s="89"/>
      <c r="I21" s="214"/>
      <c r="J21" s="89">
        <f t="shared" si="0"/>
        <v>0</v>
      </c>
      <c r="K21" s="92"/>
    </row>
    <row r="22" spans="1:11" ht="15" x14ac:dyDescent="0.25">
      <c r="A22" s="215" t="s">
        <v>149</v>
      </c>
      <c r="B22" s="216" t="s">
        <v>150</v>
      </c>
      <c r="C22" s="89"/>
      <c r="D22" s="89"/>
      <c r="E22" s="89"/>
      <c r="F22" s="89"/>
      <c r="G22" s="89"/>
      <c r="H22" s="89"/>
      <c r="I22" s="214"/>
      <c r="J22" s="89"/>
      <c r="K22" s="92"/>
    </row>
    <row r="23" spans="1:11" ht="15" hidden="1" x14ac:dyDescent="0.25">
      <c r="A23" s="215" t="s">
        <v>443</v>
      </c>
      <c r="B23" s="216" t="s">
        <v>444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214">
        <v>0</v>
      </c>
      <c r="J23" s="89">
        <f t="shared" si="0"/>
        <v>0</v>
      </c>
      <c r="K23" s="92"/>
    </row>
    <row r="24" spans="1:11" x14ac:dyDescent="0.2">
      <c r="A24" s="116">
        <v>2100</v>
      </c>
      <c r="B24" s="95" t="s">
        <v>151</v>
      </c>
      <c r="C24" s="89">
        <v>545942</v>
      </c>
      <c r="D24" s="89">
        <v>322333</v>
      </c>
      <c r="E24" s="89">
        <v>10479</v>
      </c>
      <c r="F24" s="89" t="s">
        <v>479</v>
      </c>
      <c r="G24" s="89" t="s">
        <v>495</v>
      </c>
      <c r="H24" s="89" t="s">
        <v>496</v>
      </c>
      <c r="I24" s="214" t="s">
        <v>497</v>
      </c>
      <c r="J24" s="89">
        <f t="shared" si="0"/>
        <v>878754</v>
      </c>
      <c r="K24" s="92"/>
    </row>
    <row r="25" spans="1:11" x14ac:dyDescent="0.2">
      <c r="A25" s="116">
        <v>2200</v>
      </c>
      <c r="B25" s="95" t="s">
        <v>152</v>
      </c>
      <c r="C25" s="89">
        <v>335740</v>
      </c>
      <c r="D25" s="89">
        <v>187305</v>
      </c>
      <c r="E25" s="89">
        <v>112939</v>
      </c>
      <c r="F25" s="89" t="s">
        <v>479</v>
      </c>
      <c r="G25" s="89" t="s">
        <v>495</v>
      </c>
      <c r="H25" s="89" t="s">
        <v>496</v>
      </c>
      <c r="I25" s="214" t="s">
        <v>497</v>
      </c>
      <c r="J25" s="89">
        <f t="shared" si="0"/>
        <v>635984</v>
      </c>
      <c r="K25" s="92"/>
    </row>
    <row r="26" spans="1:11" x14ac:dyDescent="0.2">
      <c r="A26" s="116">
        <v>2300</v>
      </c>
      <c r="B26" s="95" t="s">
        <v>153</v>
      </c>
      <c r="C26" s="89">
        <v>279330</v>
      </c>
      <c r="D26" s="89">
        <v>179347</v>
      </c>
      <c r="E26" s="89">
        <v>279845</v>
      </c>
      <c r="F26" s="89" t="s">
        <v>479</v>
      </c>
      <c r="G26" s="89" t="s">
        <v>495</v>
      </c>
      <c r="H26" s="89" t="s">
        <v>496</v>
      </c>
      <c r="I26" s="214" t="s">
        <v>497</v>
      </c>
      <c r="J26" s="89">
        <f t="shared" si="0"/>
        <v>738522</v>
      </c>
      <c r="K26" s="92"/>
    </row>
    <row r="27" spans="1:11" x14ac:dyDescent="0.2">
      <c r="A27" s="116">
        <v>2400</v>
      </c>
      <c r="B27" s="95" t="s">
        <v>154</v>
      </c>
      <c r="C27" s="89">
        <v>1360957</v>
      </c>
      <c r="D27" s="89">
        <v>669525</v>
      </c>
      <c r="E27" s="89">
        <v>78487</v>
      </c>
      <c r="F27" s="89" t="s">
        <v>479</v>
      </c>
      <c r="G27" s="89" t="s">
        <v>495</v>
      </c>
      <c r="H27" s="89" t="s">
        <v>496</v>
      </c>
      <c r="I27" s="214" t="s">
        <v>497</v>
      </c>
      <c r="J27" s="89">
        <f t="shared" si="0"/>
        <v>2108969</v>
      </c>
      <c r="K27" s="92"/>
    </row>
    <row r="28" spans="1:11" x14ac:dyDescent="0.2">
      <c r="A28" s="116">
        <v>2500</v>
      </c>
      <c r="B28" s="95" t="s">
        <v>155</v>
      </c>
      <c r="C28" s="89">
        <v>591722</v>
      </c>
      <c r="D28" s="89">
        <v>760386</v>
      </c>
      <c r="E28" s="89">
        <v>777692</v>
      </c>
      <c r="F28" s="89" t="s">
        <v>479</v>
      </c>
      <c r="G28" s="89" t="s">
        <v>495</v>
      </c>
      <c r="H28" s="89" t="s">
        <v>496</v>
      </c>
      <c r="I28" s="214" t="s">
        <v>497</v>
      </c>
      <c r="J28" s="89">
        <f t="shared" si="0"/>
        <v>2129800</v>
      </c>
      <c r="K28" s="92"/>
    </row>
    <row r="29" spans="1:11" x14ac:dyDescent="0.2">
      <c r="A29" s="116">
        <v>2600</v>
      </c>
      <c r="B29" s="95" t="s">
        <v>156</v>
      </c>
      <c r="C29" s="89">
        <v>1555325</v>
      </c>
      <c r="D29" s="89">
        <v>806629</v>
      </c>
      <c r="E29" s="89">
        <v>1524826</v>
      </c>
      <c r="F29" s="89" t="s">
        <v>479</v>
      </c>
      <c r="G29" s="89" t="s">
        <v>495</v>
      </c>
      <c r="H29" s="89" t="s">
        <v>496</v>
      </c>
      <c r="I29" s="214" t="s">
        <v>497</v>
      </c>
      <c r="J29" s="89">
        <f t="shared" si="0"/>
        <v>3886780</v>
      </c>
      <c r="K29" s="92"/>
    </row>
    <row r="30" spans="1:11" x14ac:dyDescent="0.2">
      <c r="A30" s="217">
        <v>2700</v>
      </c>
      <c r="B30" s="211" t="s">
        <v>157</v>
      </c>
      <c r="C30" s="89">
        <v>755167</v>
      </c>
      <c r="D30" s="89">
        <v>325100</v>
      </c>
      <c r="E30" s="89">
        <v>354050</v>
      </c>
      <c r="F30" s="89" t="s">
        <v>479</v>
      </c>
      <c r="G30" s="89" t="s">
        <v>495</v>
      </c>
      <c r="H30" s="89" t="s">
        <v>496</v>
      </c>
      <c r="I30" s="214" t="s">
        <v>497</v>
      </c>
      <c r="J30" s="89">
        <f t="shared" si="0"/>
        <v>1434317</v>
      </c>
      <c r="K30" s="212"/>
    </row>
    <row r="31" spans="1:11" hidden="1" x14ac:dyDescent="0.2">
      <c r="A31" s="116">
        <v>2900</v>
      </c>
      <c r="B31" s="95" t="s">
        <v>158</v>
      </c>
      <c r="C31" s="89" t="s">
        <v>479</v>
      </c>
      <c r="D31" s="89" t="s">
        <v>479</v>
      </c>
      <c r="E31" s="89" t="s">
        <v>498</v>
      </c>
      <c r="F31" s="89" t="s">
        <v>479</v>
      </c>
      <c r="G31" s="89" t="s">
        <v>495</v>
      </c>
      <c r="H31" s="89" t="s">
        <v>496</v>
      </c>
      <c r="I31" s="214" t="s">
        <v>497</v>
      </c>
      <c r="J31" s="89">
        <f t="shared" si="0"/>
        <v>0</v>
      </c>
      <c r="K31" s="92"/>
    </row>
    <row r="32" spans="1:11" s="204" customFormat="1" ht="15" hidden="1" x14ac:dyDescent="0.25">
      <c r="A32" s="218">
        <v>3000</v>
      </c>
      <c r="B32" s="216" t="s">
        <v>159</v>
      </c>
      <c r="C32" s="89" t="s">
        <v>479</v>
      </c>
      <c r="D32" s="89" t="s">
        <v>479</v>
      </c>
      <c r="E32" s="89" t="s">
        <v>498</v>
      </c>
      <c r="F32" s="89" t="s">
        <v>479</v>
      </c>
      <c r="G32" s="89" t="s">
        <v>495</v>
      </c>
      <c r="H32" s="89" t="s">
        <v>496</v>
      </c>
      <c r="I32" s="214" t="s">
        <v>497</v>
      </c>
      <c r="J32" s="89">
        <f t="shared" si="0"/>
        <v>0</v>
      </c>
      <c r="K32" s="219"/>
    </row>
    <row r="33" spans="1:11" hidden="1" x14ac:dyDescent="0.2">
      <c r="A33" s="217">
        <v>3100</v>
      </c>
      <c r="B33" s="211" t="s">
        <v>160</v>
      </c>
      <c r="C33" s="89" t="s">
        <v>479</v>
      </c>
      <c r="D33" s="89" t="s">
        <v>479</v>
      </c>
      <c r="E33" s="89" t="s">
        <v>498</v>
      </c>
      <c r="F33" s="89" t="s">
        <v>479</v>
      </c>
      <c r="G33" s="89" t="s">
        <v>495</v>
      </c>
      <c r="H33" s="89" t="s">
        <v>496</v>
      </c>
      <c r="I33" s="214" t="s">
        <v>497</v>
      </c>
      <c r="J33" s="89">
        <f t="shared" si="0"/>
        <v>0</v>
      </c>
      <c r="K33" s="212"/>
    </row>
    <row r="34" spans="1:11" hidden="1" x14ac:dyDescent="0.2">
      <c r="A34" s="116">
        <v>3200</v>
      </c>
      <c r="B34" s="95" t="s">
        <v>161</v>
      </c>
      <c r="C34" s="89" t="s">
        <v>479</v>
      </c>
      <c r="D34" s="89" t="s">
        <v>479</v>
      </c>
      <c r="E34" s="89" t="s">
        <v>498</v>
      </c>
      <c r="F34" s="89" t="s">
        <v>479</v>
      </c>
      <c r="G34" s="89" t="s">
        <v>495</v>
      </c>
      <c r="H34" s="89" t="s">
        <v>496</v>
      </c>
      <c r="I34" s="214" t="s">
        <v>497</v>
      </c>
      <c r="J34" s="89">
        <f t="shared" si="0"/>
        <v>0</v>
      </c>
      <c r="K34" s="92"/>
    </row>
    <row r="35" spans="1:11" hidden="1" x14ac:dyDescent="0.2">
      <c r="A35" s="116">
        <v>3300</v>
      </c>
      <c r="B35" s="95" t="s">
        <v>162</v>
      </c>
      <c r="C35" s="89" t="s">
        <v>479</v>
      </c>
      <c r="D35" s="89" t="s">
        <v>479</v>
      </c>
      <c r="E35" s="89" t="s">
        <v>498</v>
      </c>
      <c r="F35" s="89" t="s">
        <v>479</v>
      </c>
      <c r="G35" s="89" t="s">
        <v>495</v>
      </c>
      <c r="H35" s="89" t="s">
        <v>496</v>
      </c>
      <c r="I35" s="214" t="s">
        <v>497</v>
      </c>
      <c r="J35" s="89">
        <f t="shared" si="0"/>
        <v>0</v>
      </c>
      <c r="K35" s="92"/>
    </row>
    <row r="36" spans="1:11" s="223" customFormat="1" hidden="1" x14ac:dyDescent="0.2">
      <c r="A36" s="220">
        <v>4100</v>
      </c>
      <c r="B36" s="221" t="s">
        <v>163</v>
      </c>
      <c r="C36" s="89" t="s">
        <v>479</v>
      </c>
      <c r="D36" s="89" t="s">
        <v>479</v>
      </c>
      <c r="E36" s="89" t="s">
        <v>498</v>
      </c>
      <c r="F36" s="89" t="s">
        <v>479</v>
      </c>
      <c r="G36" s="89" t="s">
        <v>495</v>
      </c>
      <c r="H36" s="89" t="s">
        <v>496</v>
      </c>
      <c r="I36" s="214" t="s">
        <v>497</v>
      </c>
      <c r="J36" s="89">
        <f t="shared" si="0"/>
        <v>0</v>
      </c>
      <c r="K36" s="222"/>
    </row>
    <row r="37" spans="1:11" s="225" customFormat="1" ht="15" hidden="1" x14ac:dyDescent="0.25">
      <c r="A37" s="220">
        <v>4000</v>
      </c>
      <c r="B37" s="221" t="s">
        <v>164</v>
      </c>
      <c r="C37" s="89" t="s">
        <v>479</v>
      </c>
      <c r="D37" s="89" t="s">
        <v>479</v>
      </c>
      <c r="E37" s="89" t="s">
        <v>498</v>
      </c>
      <c r="F37" s="89" t="s">
        <v>479</v>
      </c>
      <c r="G37" s="89" t="s">
        <v>495</v>
      </c>
      <c r="H37" s="89" t="s">
        <v>496</v>
      </c>
      <c r="I37" s="214" t="s">
        <v>497</v>
      </c>
      <c r="J37" s="89">
        <f t="shared" si="0"/>
        <v>0</v>
      </c>
      <c r="K37" s="224"/>
    </row>
    <row r="38" spans="1:11" s="223" customFormat="1" hidden="1" x14ac:dyDescent="0.2">
      <c r="A38" s="220">
        <v>4200</v>
      </c>
      <c r="B38" s="221" t="s">
        <v>165</v>
      </c>
      <c r="C38" s="89" t="s">
        <v>479</v>
      </c>
      <c r="D38" s="89" t="s">
        <v>479</v>
      </c>
      <c r="E38" s="89" t="s">
        <v>498</v>
      </c>
      <c r="F38" s="89" t="s">
        <v>479</v>
      </c>
      <c r="G38" s="89" t="s">
        <v>495</v>
      </c>
      <c r="H38" s="89" t="s">
        <v>496</v>
      </c>
      <c r="I38" s="214" t="s">
        <v>497</v>
      </c>
      <c r="J38" s="89">
        <f t="shared" si="0"/>
        <v>0</v>
      </c>
      <c r="K38" s="222"/>
    </row>
    <row r="39" spans="1:11" s="223" customFormat="1" hidden="1" x14ac:dyDescent="0.2">
      <c r="A39" s="220">
        <v>4300</v>
      </c>
      <c r="B39" s="221" t="s">
        <v>166</v>
      </c>
      <c r="C39" s="89" t="s">
        <v>479</v>
      </c>
      <c r="D39" s="89" t="s">
        <v>479</v>
      </c>
      <c r="E39" s="89" t="s">
        <v>498</v>
      </c>
      <c r="F39" s="89" t="s">
        <v>479</v>
      </c>
      <c r="G39" s="89" t="s">
        <v>495</v>
      </c>
      <c r="H39" s="89" t="s">
        <v>496</v>
      </c>
      <c r="I39" s="214" t="s">
        <v>497</v>
      </c>
      <c r="J39" s="89">
        <f t="shared" si="0"/>
        <v>0</v>
      </c>
      <c r="K39" s="222"/>
    </row>
    <row r="40" spans="1:11" s="223" customFormat="1" ht="28.5" hidden="1" x14ac:dyDescent="0.2">
      <c r="A40" s="220">
        <v>4400</v>
      </c>
      <c r="B40" s="221" t="s">
        <v>167</v>
      </c>
      <c r="C40" s="89" t="s">
        <v>479</v>
      </c>
      <c r="D40" s="89" t="s">
        <v>479</v>
      </c>
      <c r="E40" s="89" t="s">
        <v>498</v>
      </c>
      <c r="F40" s="89" t="s">
        <v>479</v>
      </c>
      <c r="G40" s="89" t="s">
        <v>495</v>
      </c>
      <c r="H40" s="89" t="s">
        <v>496</v>
      </c>
      <c r="I40" s="214" t="s">
        <v>497</v>
      </c>
      <c r="J40" s="89">
        <f t="shared" si="0"/>
        <v>0</v>
      </c>
      <c r="K40" s="222"/>
    </row>
    <row r="41" spans="1:11" s="223" customFormat="1" hidden="1" x14ac:dyDescent="0.2">
      <c r="A41" s="220">
        <v>4500</v>
      </c>
      <c r="B41" s="221" t="s">
        <v>168</v>
      </c>
      <c r="C41" s="89" t="s">
        <v>479</v>
      </c>
      <c r="D41" s="89" t="s">
        <v>479</v>
      </c>
      <c r="E41" s="89" t="s">
        <v>498</v>
      </c>
      <c r="F41" s="89" t="s">
        <v>479</v>
      </c>
      <c r="G41" s="89" t="s">
        <v>495</v>
      </c>
      <c r="H41" s="89" t="s">
        <v>496</v>
      </c>
      <c r="I41" s="214" t="s">
        <v>497</v>
      </c>
      <c r="J41" s="89">
        <f t="shared" si="0"/>
        <v>0</v>
      </c>
      <c r="K41" s="222"/>
    </row>
    <row r="42" spans="1:11" s="223" customFormat="1" hidden="1" x14ac:dyDescent="0.2">
      <c r="A42" s="220">
        <v>4600</v>
      </c>
      <c r="B42" s="221" t="s">
        <v>169</v>
      </c>
      <c r="C42" s="89" t="s">
        <v>479</v>
      </c>
      <c r="D42" s="89" t="s">
        <v>479</v>
      </c>
      <c r="E42" s="89" t="s">
        <v>498</v>
      </c>
      <c r="F42" s="89" t="s">
        <v>479</v>
      </c>
      <c r="G42" s="89" t="s">
        <v>495</v>
      </c>
      <c r="H42" s="89" t="s">
        <v>496</v>
      </c>
      <c r="I42" s="214" t="s">
        <v>497</v>
      </c>
      <c r="J42" s="89">
        <f t="shared" si="0"/>
        <v>0</v>
      </c>
      <c r="K42" s="222"/>
    </row>
    <row r="43" spans="1:11" s="223" customFormat="1" hidden="1" x14ac:dyDescent="0.2">
      <c r="A43" s="220">
        <v>4700</v>
      </c>
      <c r="B43" s="221" t="s">
        <v>170</v>
      </c>
      <c r="C43" s="89" t="s">
        <v>479</v>
      </c>
      <c r="D43" s="89" t="s">
        <v>479</v>
      </c>
      <c r="E43" s="89" t="s">
        <v>498</v>
      </c>
      <c r="F43" s="89" t="s">
        <v>479</v>
      </c>
      <c r="G43" s="89" t="s">
        <v>495</v>
      </c>
      <c r="H43" s="89" t="s">
        <v>496</v>
      </c>
      <c r="I43" s="214" t="s">
        <v>497</v>
      </c>
      <c r="J43" s="89">
        <f t="shared" si="0"/>
        <v>0</v>
      </c>
      <c r="K43" s="222"/>
    </row>
    <row r="44" spans="1:11" s="223" customFormat="1" hidden="1" x14ac:dyDescent="0.2">
      <c r="A44" s="220">
        <v>4900</v>
      </c>
      <c r="B44" s="221" t="s">
        <v>171</v>
      </c>
      <c r="C44" s="89" t="s">
        <v>479</v>
      </c>
      <c r="D44" s="89" t="s">
        <v>479</v>
      </c>
      <c r="E44" s="89" t="s">
        <v>498</v>
      </c>
      <c r="F44" s="89" t="s">
        <v>479</v>
      </c>
      <c r="G44" s="89" t="s">
        <v>495</v>
      </c>
      <c r="H44" s="89" t="s">
        <v>496</v>
      </c>
      <c r="I44" s="214" t="s">
        <v>497</v>
      </c>
      <c r="J44" s="89">
        <f t="shared" si="0"/>
        <v>0</v>
      </c>
      <c r="K44" s="222"/>
    </row>
    <row r="45" spans="1:11" hidden="1" x14ac:dyDescent="0.2">
      <c r="A45" s="220">
        <v>5000</v>
      </c>
      <c r="B45" s="226" t="s">
        <v>172</v>
      </c>
      <c r="C45" s="89" t="s">
        <v>479</v>
      </c>
      <c r="D45" s="89" t="s">
        <v>479</v>
      </c>
      <c r="E45" s="89" t="s">
        <v>498</v>
      </c>
      <c r="F45" s="89" t="s">
        <v>479</v>
      </c>
      <c r="G45" s="89" t="s">
        <v>495</v>
      </c>
      <c r="H45" s="89" t="s">
        <v>496</v>
      </c>
      <c r="I45" s="214" t="s">
        <v>497</v>
      </c>
      <c r="J45" s="89">
        <f t="shared" si="0"/>
        <v>0</v>
      </c>
      <c r="K45" s="92"/>
    </row>
    <row r="46" spans="1:11" hidden="1" x14ac:dyDescent="0.2">
      <c r="A46" s="220">
        <v>5000</v>
      </c>
      <c r="B46" s="226" t="s">
        <v>173</v>
      </c>
      <c r="C46" s="89" t="s">
        <v>479</v>
      </c>
      <c r="D46" s="89" t="s">
        <v>479</v>
      </c>
      <c r="E46" s="89" t="s">
        <v>498</v>
      </c>
      <c r="F46" s="89" t="s">
        <v>479</v>
      </c>
      <c r="G46" s="89" t="s">
        <v>495</v>
      </c>
      <c r="H46" s="89" t="s">
        <v>496</v>
      </c>
      <c r="I46" s="214" t="s">
        <v>497</v>
      </c>
      <c r="J46" s="89">
        <f t="shared" si="0"/>
        <v>0</v>
      </c>
      <c r="K46" s="92"/>
    </row>
    <row r="47" spans="1:11" hidden="1" x14ac:dyDescent="0.2">
      <c r="A47" s="220">
        <v>6100</v>
      </c>
      <c r="B47" s="226" t="s">
        <v>174</v>
      </c>
      <c r="C47" s="89" t="s">
        <v>479</v>
      </c>
      <c r="D47" s="89" t="s">
        <v>479</v>
      </c>
      <c r="E47" s="89" t="s">
        <v>498</v>
      </c>
      <c r="F47" s="89" t="s">
        <v>479</v>
      </c>
      <c r="G47" s="89" t="s">
        <v>495</v>
      </c>
      <c r="H47" s="89" t="s">
        <v>496</v>
      </c>
      <c r="I47" s="214" t="s">
        <v>497</v>
      </c>
      <c r="J47" s="89">
        <f t="shared" si="0"/>
        <v>0</v>
      </c>
      <c r="K47" s="92"/>
    </row>
    <row r="48" spans="1:11" x14ac:dyDescent="0.2">
      <c r="A48" s="116">
        <v>6200</v>
      </c>
      <c r="B48" s="95" t="s">
        <v>175</v>
      </c>
      <c r="C48" s="89" t="s">
        <v>479</v>
      </c>
      <c r="D48" s="89" t="s">
        <v>479</v>
      </c>
      <c r="E48" s="89" t="s">
        <v>498</v>
      </c>
      <c r="F48" s="89">
        <v>2025000</v>
      </c>
      <c r="G48" s="89" t="s">
        <v>495</v>
      </c>
      <c r="H48" s="89" t="s">
        <v>496</v>
      </c>
      <c r="I48" s="214" t="s">
        <v>497</v>
      </c>
      <c r="J48" s="89">
        <f t="shared" si="0"/>
        <v>2025000</v>
      </c>
      <c r="K48" s="92"/>
    </row>
    <row r="49" spans="1:11" x14ac:dyDescent="0.2">
      <c r="A49" s="116">
        <v>6300</v>
      </c>
      <c r="B49" s="95" t="s">
        <v>176</v>
      </c>
      <c r="C49" s="89" t="s">
        <v>479</v>
      </c>
      <c r="D49" s="89" t="s">
        <v>479</v>
      </c>
      <c r="E49" s="89" t="s">
        <v>498</v>
      </c>
      <c r="F49" s="89" t="s">
        <v>479</v>
      </c>
      <c r="G49" s="89">
        <v>775000</v>
      </c>
      <c r="H49" s="89" t="s">
        <v>496</v>
      </c>
      <c r="I49" s="214" t="s">
        <v>497</v>
      </c>
      <c r="J49" s="89">
        <f t="shared" si="0"/>
        <v>775000</v>
      </c>
      <c r="K49" s="92"/>
    </row>
    <row r="50" spans="1:11" hidden="1" x14ac:dyDescent="0.2">
      <c r="A50" s="116">
        <v>8000</v>
      </c>
      <c r="B50" s="227" t="s">
        <v>177</v>
      </c>
      <c r="C50" s="89" t="s">
        <v>479</v>
      </c>
      <c r="D50" s="89" t="s">
        <v>479</v>
      </c>
      <c r="E50" s="89" t="s">
        <v>498</v>
      </c>
      <c r="F50" s="89" t="s">
        <v>479</v>
      </c>
      <c r="G50" s="89" t="s">
        <v>495</v>
      </c>
      <c r="H50" s="89" t="s">
        <v>496</v>
      </c>
      <c r="I50" s="214" t="s">
        <v>497</v>
      </c>
      <c r="J50" s="89">
        <f t="shared" si="0"/>
        <v>0</v>
      </c>
      <c r="K50" s="92"/>
    </row>
    <row r="51" spans="1:11" x14ac:dyDescent="0.2">
      <c r="A51" s="116"/>
      <c r="B51" s="227" t="s">
        <v>445</v>
      </c>
      <c r="C51" s="89" t="s">
        <v>479</v>
      </c>
      <c r="D51" s="89" t="s">
        <v>479</v>
      </c>
      <c r="E51" s="89" t="s">
        <v>498</v>
      </c>
      <c r="F51" s="89" t="s">
        <v>479</v>
      </c>
      <c r="G51" s="89" t="s">
        <v>495</v>
      </c>
      <c r="H51" s="89">
        <v>236366</v>
      </c>
      <c r="I51" s="214" t="s">
        <v>497</v>
      </c>
      <c r="J51" s="89">
        <f t="shared" si="0"/>
        <v>236366</v>
      </c>
      <c r="K51" s="92"/>
    </row>
    <row r="52" spans="1:11" ht="15" thickBot="1" x14ac:dyDescent="0.25">
      <c r="A52" s="229"/>
      <c r="B52" s="100" t="s">
        <v>446</v>
      </c>
      <c r="C52" s="89" t="s">
        <v>479</v>
      </c>
      <c r="D52" s="89" t="s">
        <v>479</v>
      </c>
      <c r="E52" s="89" t="s">
        <v>498</v>
      </c>
      <c r="F52" s="89" t="s">
        <v>479</v>
      </c>
      <c r="G52" s="89" t="s">
        <v>495</v>
      </c>
      <c r="H52" s="89">
        <v>1045359</v>
      </c>
      <c r="I52" s="214" t="s">
        <v>497</v>
      </c>
      <c r="J52" s="89">
        <f t="shared" si="0"/>
        <v>1045359</v>
      </c>
      <c r="K52" s="92"/>
    </row>
    <row r="53" spans="1:11" ht="15" hidden="1" thickBot="1" x14ac:dyDescent="0.25">
      <c r="A53" s="230"/>
      <c r="B53" s="231" t="s">
        <v>255</v>
      </c>
      <c r="C53" s="232" t="s">
        <v>479</v>
      </c>
      <c r="D53" s="232" t="s">
        <v>479</v>
      </c>
      <c r="E53" s="232" t="s">
        <v>498</v>
      </c>
      <c r="F53" s="232" t="s">
        <v>479</v>
      </c>
      <c r="G53" s="232" t="s">
        <v>495</v>
      </c>
      <c r="H53" s="232" t="s">
        <v>496</v>
      </c>
      <c r="I53" s="316" t="s">
        <v>497</v>
      </c>
      <c r="J53" s="232">
        <f t="shared" si="0"/>
        <v>0</v>
      </c>
      <c r="K53" s="233"/>
    </row>
    <row r="54" spans="1:11" ht="15.75" thickBot="1" x14ac:dyDescent="0.3">
      <c r="A54" s="234"/>
      <c r="B54" s="235" t="s">
        <v>447</v>
      </c>
      <c r="C54" s="236">
        <f>SUM(C5:C53)</f>
        <v>14564923</v>
      </c>
      <c r="D54" s="236">
        <f>SUM(D5:D53)</f>
        <v>7606529</v>
      </c>
      <c r="E54" s="236">
        <f>SUM(E5:E53)</f>
        <v>3701584</v>
      </c>
      <c r="F54" s="236">
        <f t="shared" ref="F54:I54" si="1">SUM(F5:F53)</f>
        <v>2025000</v>
      </c>
      <c r="G54" s="236">
        <f t="shared" si="1"/>
        <v>775000</v>
      </c>
      <c r="H54" s="236">
        <f t="shared" si="1"/>
        <v>1281725</v>
      </c>
      <c r="I54" s="237">
        <f t="shared" si="1"/>
        <v>0</v>
      </c>
      <c r="J54" s="236">
        <f t="shared" si="0"/>
        <v>29954761</v>
      </c>
      <c r="K54" s="239"/>
    </row>
    <row r="55" spans="1:11" ht="15" x14ac:dyDescent="0.25">
      <c r="A55" s="218" t="s">
        <v>448</v>
      </c>
      <c r="B55" s="95"/>
      <c r="C55" s="240" t="s">
        <v>479</v>
      </c>
      <c r="D55" s="240" t="s">
        <v>479</v>
      </c>
      <c r="E55" s="240">
        <v>3125120</v>
      </c>
      <c r="F55" s="240">
        <v>1550000</v>
      </c>
      <c r="G55" s="240" t="s">
        <v>495</v>
      </c>
      <c r="H55" s="240">
        <v>3048645</v>
      </c>
      <c r="I55" s="241" t="s">
        <v>497</v>
      </c>
      <c r="J55" s="144">
        <f t="shared" si="0"/>
        <v>7723765</v>
      </c>
      <c r="K55" s="112"/>
    </row>
    <row r="56" spans="1:11" ht="15.75" thickBot="1" x14ac:dyDescent="0.3">
      <c r="A56" s="243" t="s">
        <v>453</v>
      </c>
      <c r="B56" s="244"/>
      <c r="C56" s="207">
        <v>0</v>
      </c>
      <c r="D56" s="207">
        <v>0</v>
      </c>
      <c r="E56" s="207">
        <v>0</v>
      </c>
      <c r="F56" s="207">
        <v>0</v>
      </c>
      <c r="G56" s="207">
        <v>0</v>
      </c>
      <c r="H56" s="207">
        <v>0</v>
      </c>
      <c r="I56" s="208">
        <v>0</v>
      </c>
      <c r="J56" s="209">
        <f t="shared" si="0"/>
        <v>0</v>
      </c>
      <c r="K56" s="233"/>
    </row>
    <row r="57" spans="1:11" ht="20.25" customHeight="1" thickBot="1" x14ac:dyDescent="0.3">
      <c r="A57" s="245" t="s">
        <v>454</v>
      </c>
      <c r="B57" s="246"/>
      <c r="C57" s="247">
        <f>SUM(C54:C56)</f>
        <v>14564923</v>
      </c>
      <c r="D57" s="247">
        <f t="shared" ref="D57:H57" si="2">SUM(D54:D56)</f>
        <v>7606529</v>
      </c>
      <c r="E57" s="247">
        <f t="shared" si="2"/>
        <v>6826704</v>
      </c>
      <c r="F57" s="247">
        <f t="shared" si="2"/>
        <v>3575000</v>
      </c>
      <c r="G57" s="247">
        <f t="shared" si="2"/>
        <v>775000</v>
      </c>
      <c r="H57" s="247">
        <f t="shared" si="2"/>
        <v>4330370</v>
      </c>
      <c r="I57" s="248">
        <f>SUM(I54:I56)</f>
        <v>0</v>
      </c>
      <c r="J57" s="236">
        <f>SUM(C57:I57)</f>
        <v>37678526</v>
      </c>
      <c r="K57" s="239"/>
    </row>
    <row r="58" spans="1:11" ht="18" customHeight="1" x14ac:dyDescent="0.25">
      <c r="A58" s="218" t="s">
        <v>308</v>
      </c>
      <c r="B58" s="95"/>
      <c r="C58" s="144"/>
      <c r="D58" s="240"/>
      <c r="E58" s="240"/>
      <c r="F58" s="240"/>
      <c r="G58" s="240"/>
      <c r="H58" s="240"/>
      <c r="I58" s="241"/>
      <c r="J58" s="144"/>
      <c r="K58" s="112"/>
    </row>
    <row r="59" spans="1:11" ht="15" hidden="1" x14ac:dyDescent="0.25">
      <c r="A59" s="116"/>
      <c r="B59" s="95" t="s">
        <v>179</v>
      </c>
      <c r="C59" s="89" t="s">
        <v>479</v>
      </c>
      <c r="D59" s="89" t="s">
        <v>479</v>
      </c>
      <c r="E59" s="89" t="s">
        <v>498</v>
      </c>
      <c r="F59" s="89" t="s">
        <v>479</v>
      </c>
      <c r="G59" s="89" t="s">
        <v>495</v>
      </c>
      <c r="H59" s="89" t="s">
        <v>496</v>
      </c>
      <c r="I59" s="214" t="s">
        <v>497</v>
      </c>
      <c r="J59" s="89">
        <f t="shared" si="0"/>
        <v>0</v>
      </c>
      <c r="K59" s="249"/>
    </row>
    <row r="60" spans="1:11" ht="15" x14ac:dyDescent="0.25">
      <c r="A60" s="116"/>
      <c r="B60" s="95" t="s">
        <v>145</v>
      </c>
      <c r="C60" s="89">
        <v>63817</v>
      </c>
      <c r="D60" s="89">
        <v>41795</v>
      </c>
      <c r="E60" s="89">
        <v>19665</v>
      </c>
      <c r="F60" s="89" t="s">
        <v>479</v>
      </c>
      <c r="G60" s="89" t="s">
        <v>495</v>
      </c>
      <c r="H60" s="89" t="s">
        <v>496</v>
      </c>
      <c r="I60" s="214" t="s">
        <v>497</v>
      </c>
      <c r="J60" s="89">
        <f t="shared" si="0"/>
        <v>125277</v>
      </c>
      <c r="K60" s="249"/>
    </row>
    <row r="61" spans="1:11" ht="15" hidden="1" x14ac:dyDescent="0.25">
      <c r="A61" s="116"/>
      <c r="B61" s="95" t="s">
        <v>180</v>
      </c>
      <c r="C61" s="89" t="s">
        <v>479</v>
      </c>
      <c r="D61" s="89" t="s">
        <v>479</v>
      </c>
      <c r="E61" s="89" t="s">
        <v>498</v>
      </c>
      <c r="F61" s="89" t="s">
        <v>479</v>
      </c>
      <c r="G61" s="89" t="s">
        <v>495</v>
      </c>
      <c r="H61" s="89" t="s">
        <v>496</v>
      </c>
      <c r="I61" s="214" t="s">
        <v>497</v>
      </c>
      <c r="J61" s="89">
        <f t="shared" si="0"/>
        <v>0</v>
      </c>
      <c r="K61" s="249"/>
    </row>
    <row r="62" spans="1:11" ht="15" hidden="1" x14ac:dyDescent="0.25">
      <c r="A62" s="116"/>
      <c r="B62" s="95" t="s">
        <v>181</v>
      </c>
      <c r="C62" s="89" t="s">
        <v>479</v>
      </c>
      <c r="D62" s="89" t="s">
        <v>479</v>
      </c>
      <c r="E62" s="89" t="s">
        <v>498</v>
      </c>
      <c r="F62" s="89" t="s">
        <v>479</v>
      </c>
      <c r="G62" s="89" t="s">
        <v>495</v>
      </c>
      <c r="H62" s="89" t="s">
        <v>496</v>
      </c>
      <c r="I62" s="214" t="s">
        <v>497</v>
      </c>
      <c r="J62" s="89">
        <f t="shared" si="0"/>
        <v>0</v>
      </c>
      <c r="K62" s="249"/>
    </row>
    <row r="63" spans="1:11" ht="15" hidden="1" x14ac:dyDescent="0.25">
      <c r="A63" s="116"/>
      <c r="B63" s="95" t="s">
        <v>182</v>
      </c>
      <c r="C63" s="89" t="s">
        <v>479</v>
      </c>
      <c r="D63" s="89" t="s">
        <v>479</v>
      </c>
      <c r="E63" s="89" t="s">
        <v>498</v>
      </c>
      <c r="F63" s="89" t="s">
        <v>479</v>
      </c>
      <c r="G63" s="89" t="s">
        <v>495</v>
      </c>
      <c r="H63" s="89" t="s">
        <v>496</v>
      </c>
      <c r="I63" s="214" t="s">
        <v>497</v>
      </c>
      <c r="J63" s="89">
        <f t="shared" si="0"/>
        <v>0</v>
      </c>
      <c r="K63" s="249"/>
    </row>
    <row r="64" spans="1:11" ht="15" hidden="1" x14ac:dyDescent="0.25">
      <c r="A64" s="251"/>
      <c r="B64" s="100" t="s">
        <v>183</v>
      </c>
      <c r="C64" s="89" t="s">
        <v>479</v>
      </c>
      <c r="D64" s="89" t="s">
        <v>479</v>
      </c>
      <c r="E64" s="89" t="s">
        <v>498</v>
      </c>
      <c r="F64" s="89" t="s">
        <v>479</v>
      </c>
      <c r="G64" s="89" t="s">
        <v>495</v>
      </c>
      <c r="H64" s="89" t="s">
        <v>496</v>
      </c>
      <c r="I64" s="214" t="s">
        <v>497</v>
      </c>
      <c r="J64" s="89">
        <f t="shared" si="0"/>
        <v>0</v>
      </c>
      <c r="K64" s="249"/>
    </row>
    <row r="65" spans="1:11" ht="15" hidden="1" x14ac:dyDescent="0.25">
      <c r="A65" s="251"/>
      <c r="B65" s="100" t="s">
        <v>184</v>
      </c>
      <c r="C65" s="89" t="s">
        <v>479</v>
      </c>
      <c r="D65" s="89" t="s">
        <v>479</v>
      </c>
      <c r="E65" s="89" t="s">
        <v>498</v>
      </c>
      <c r="F65" s="89" t="s">
        <v>479</v>
      </c>
      <c r="G65" s="89" t="s">
        <v>495</v>
      </c>
      <c r="H65" s="89" t="s">
        <v>496</v>
      </c>
      <c r="I65" s="214" t="s">
        <v>497</v>
      </c>
      <c r="J65" s="89">
        <f t="shared" si="0"/>
        <v>0</v>
      </c>
      <c r="K65" s="249"/>
    </row>
    <row r="66" spans="1:11" ht="15" x14ac:dyDescent="0.25">
      <c r="A66" s="251"/>
      <c r="B66" s="100" t="s">
        <v>185</v>
      </c>
      <c r="C66" s="89" t="s">
        <v>479</v>
      </c>
      <c r="D66" s="89" t="s">
        <v>479</v>
      </c>
      <c r="E66" s="89">
        <v>106750</v>
      </c>
      <c r="F66" s="89" t="s">
        <v>479</v>
      </c>
      <c r="G66" s="89" t="s">
        <v>495</v>
      </c>
      <c r="H66" s="89">
        <v>251754</v>
      </c>
      <c r="I66" s="214" t="s">
        <v>497</v>
      </c>
      <c r="J66" s="89">
        <f t="shared" si="0"/>
        <v>358504</v>
      </c>
      <c r="K66" s="249"/>
    </row>
    <row r="67" spans="1:11" ht="15" hidden="1" x14ac:dyDescent="0.25">
      <c r="A67" s="251"/>
      <c r="B67" s="100" t="s">
        <v>186</v>
      </c>
      <c r="C67" s="89" t="s">
        <v>479</v>
      </c>
      <c r="D67" s="89" t="s">
        <v>479</v>
      </c>
      <c r="E67" s="89" t="s">
        <v>498</v>
      </c>
      <c r="F67" s="89" t="s">
        <v>479</v>
      </c>
      <c r="G67" s="89" t="s">
        <v>495</v>
      </c>
      <c r="H67" s="89" t="s">
        <v>496</v>
      </c>
      <c r="I67" s="214" t="s">
        <v>497</v>
      </c>
      <c r="J67" s="89">
        <f t="shared" si="0"/>
        <v>0</v>
      </c>
      <c r="K67" s="249"/>
    </row>
    <row r="68" spans="1:11" ht="15" hidden="1" x14ac:dyDescent="0.25">
      <c r="A68" s="251"/>
      <c r="B68" s="100" t="s">
        <v>187</v>
      </c>
      <c r="C68" s="89" t="s">
        <v>479</v>
      </c>
      <c r="D68" s="89" t="s">
        <v>479</v>
      </c>
      <c r="E68" s="89" t="s">
        <v>498</v>
      </c>
      <c r="F68" s="89" t="s">
        <v>479</v>
      </c>
      <c r="G68" s="89" t="s">
        <v>495</v>
      </c>
      <c r="H68" s="89" t="s">
        <v>496</v>
      </c>
      <c r="I68" s="214" t="s">
        <v>497</v>
      </c>
      <c r="J68" s="89">
        <f t="shared" si="0"/>
        <v>0</v>
      </c>
      <c r="K68" s="249"/>
    </row>
    <row r="69" spans="1:11" ht="15" hidden="1" x14ac:dyDescent="0.25">
      <c r="A69" s="251"/>
      <c r="B69" s="100" t="s">
        <v>188</v>
      </c>
      <c r="C69" s="89" t="s">
        <v>479</v>
      </c>
      <c r="D69" s="89" t="s">
        <v>479</v>
      </c>
      <c r="E69" s="89" t="s">
        <v>498</v>
      </c>
      <c r="F69" s="89" t="s">
        <v>479</v>
      </c>
      <c r="G69" s="89" t="s">
        <v>495</v>
      </c>
      <c r="H69" s="89" t="s">
        <v>496</v>
      </c>
      <c r="I69" s="214" t="s">
        <v>497</v>
      </c>
      <c r="J69" s="89">
        <f t="shared" si="0"/>
        <v>0</v>
      </c>
      <c r="K69" s="249"/>
    </row>
    <row r="70" spans="1:11" ht="15" hidden="1" x14ac:dyDescent="0.25">
      <c r="A70" s="251"/>
      <c r="B70" s="100" t="s">
        <v>189</v>
      </c>
      <c r="C70" s="89" t="s">
        <v>479</v>
      </c>
      <c r="D70" s="89" t="s">
        <v>479</v>
      </c>
      <c r="E70" s="89" t="s">
        <v>498</v>
      </c>
      <c r="F70" s="89" t="s">
        <v>479</v>
      </c>
      <c r="G70" s="89" t="s">
        <v>495</v>
      </c>
      <c r="H70" s="89" t="s">
        <v>496</v>
      </c>
      <c r="I70" s="214" t="s">
        <v>497</v>
      </c>
      <c r="J70" s="89">
        <f t="shared" si="0"/>
        <v>0</v>
      </c>
      <c r="K70" s="249"/>
    </row>
    <row r="71" spans="1:11" ht="15" x14ac:dyDescent="0.25">
      <c r="A71" s="116"/>
      <c r="B71" s="95" t="s">
        <v>190</v>
      </c>
      <c r="C71" s="89" t="s">
        <v>479</v>
      </c>
      <c r="D71" s="89" t="s">
        <v>479</v>
      </c>
      <c r="E71" s="89">
        <v>1950528</v>
      </c>
      <c r="F71" s="89" t="s">
        <v>479</v>
      </c>
      <c r="G71" s="89" t="s">
        <v>495</v>
      </c>
      <c r="H71" s="89">
        <v>1714890</v>
      </c>
      <c r="I71" s="214" t="s">
        <v>497</v>
      </c>
      <c r="J71" s="89">
        <f t="shared" ref="J71:J134" si="3">SUM(C71:I71)</f>
        <v>3665418</v>
      </c>
      <c r="K71" s="249"/>
    </row>
    <row r="72" spans="1:11" ht="15" x14ac:dyDescent="0.25">
      <c r="A72" s="116"/>
      <c r="B72" s="95" t="s">
        <v>191</v>
      </c>
      <c r="C72" s="89">
        <v>601330</v>
      </c>
      <c r="D72" s="89">
        <v>290692</v>
      </c>
      <c r="E72" s="89" t="s">
        <v>498</v>
      </c>
      <c r="F72" s="89" t="s">
        <v>479</v>
      </c>
      <c r="G72" s="89" t="s">
        <v>495</v>
      </c>
      <c r="H72" s="89" t="s">
        <v>496</v>
      </c>
      <c r="I72" s="214" t="s">
        <v>497</v>
      </c>
      <c r="J72" s="89">
        <f t="shared" si="3"/>
        <v>892022</v>
      </c>
      <c r="K72" s="249"/>
    </row>
    <row r="73" spans="1:11" ht="15" hidden="1" x14ac:dyDescent="0.25">
      <c r="A73" s="116"/>
      <c r="B73" s="95" t="s">
        <v>192</v>
      </c>
      <c r="C73" s="89" t="s">
        <v>479</v>
      </c>
      <c r="D73" s="89" t="s">
        <v>479</v>
      </c>
      <c r="E73" s="89" t="s">
        <v>498</v>
      </c>
      <c r="F73" s="89" t="s">
        <v>479</v>
      </c>
      <c r="G73" s="89" t="s">
        <v>495</v>
      </c>
      <c r="H73" s="89" t="s">
        <v>496</v>
      </c>
      <c r="I73" s="214" t="s">
        <v>497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193</v>
      </c>
      <c r="C74" s="89" t="s">
        <v>479</v>
      </c>
      <c r="D74" s="89" t="s">
        <v>479</v>
      </c>
      <c r="E74" s="89" t="s">
        <v>498</v>
      </c>
      <c r="F74" s="89" t="s">
        <v>479</v>
      </c>
      <c r="G74" s="89" t="s">
        <v>495</v>
      </c>
      <c r="H74" s="89" t="s">
        <v>496</v>
      </c>
      <c r="I74" s="214" t="s">
        <v>497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194</v>
      </c>
      <c r="C75" s="89" t="s">
        <v>479</v>
      </c>
      <c r="D75" s="89" t="s">
        <v>479</v>
      </c>
      <c r="E75" s="89" t="s">
        <v>498</v>
      </c>
      <c r="F75" s="89" t="s">
        <v>479</v>
      </c>
      <c r="G75" s="89" t="s">
        <v>495</v>
      </c>
      <c r="H75" s="89" t="s">
        <v>496</v>
      </c>
      <c r="I75" s="214" t="s">
        <v>497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195</v>
      </c>
      <c r="C76" s="89" t="s">
        <v>479</v>
      </c>
      <c r="D76" s="89" t="s">
        <v>479</v>
      </c>
      <c r="E76" s="89" t="s">
        <v>498</v>
      </c>
      <c r="F76" s="89" t="s">
        <v>479</v>
      </c>
      <c r="G76" s="89" t="s">
        <v>495</v>
      </c>
      <c r="H76" s="89" t="s">
        <v>496</v>
      </c>
      <c r="I76" s="214" t="s">
        <v>497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196</v>
      </c>
      <c r="C77" s="89" t="s">
        <v>479</v>
      </c>
      <c r="D77" s="89" t="s">
        <v>479</v>
      </c>
      <c r="E77" s="89" t="s">
        <v>498</v>
      </c>
      <c r="F77" s="89" t="s">
        <v>479</v>
      </c>
      <c r="G77" s="89" t="s">
        <v>495</v>
      </c>
      <c r="H77" s="89" t="s">
        <v>496</v>
      </c>
      <c r="I77" s="214" t="s">
        <v>497</v>
      </c>
      <c r="J77" s="89">
        <f t="shared" si="3"/>
        <v>0</v>
      </c>
      <c r="K77" s="249"/>
    </row>
    <row r="78" spans="1:11" ht="15" hidden="1" x14ac:dyDescent="0.25">
      <c r="A78" s="116"/>
      <c r="B78" s="95" t="s">
        <v>197</v>
      </c>
      <c r="C78" s="89" t="s">
        <v>479</v>
      </c>
      <c r="D78" s="89" t="s">
        <v>479</v>
      </c>
      <c r="E78" s="89" t="s">
        <v>498</v>
      </c>
      <c r="F78" s="89" t="s">
        <v>479</v>
      </c>
      <c r="G78" s="89" t="s">
        <v>495</v>
      </c>
      <c r="H78" s="89" t="s">
        <v>496</v>
      </c>
      <c r="I78" s="214" t="s">
        <v>497</v>
      </c>
      <c r="J78" s="89">
        <f t="shared" si="3"/>
        <v>0</v>
      </c>
      <c r="K78" s="249"/>
    </row>
    <row r="79" spans="1:11" ht="15" hidden="1" x14ac:dyDescent="0.25">
      <c r="A79" s="116"/>
      <c r="B79" s="95" t="s">
        <v>198</v>
      </c>
      <c r="C79" s="89" t="s">
        <v>479</v>
      </c>
      <c r="D79" s="89" t="s">
        <v>479</v>
      </c>
      <c r="E79" s="89" t="s">
        <v>498</v>
      </c>
      <c r="F79" s="89" t="s">
        <v>479</v>
      </c>
      <c r="G79" s="89" t="s">
        <v>495</v>
      </c>
      <c r="H79" s="89" t="s">
        <v>496</v>
      </c>
      <c r="I79" s="214" t="s">
        <v>497</v>
      </c>
      <c r="J79" s="89">
        <f t="shared" si="3"/>
        <v>0</v>
      </c>
      <c r="K79" s="249"/>
    </row>
    <row r="80" spans="1:11" ht="15" hidden="1" x14ac:dyDescent="0.25">
      <c r="A80" s="116"/>
      <c r="B80" s="95" t="s">
        <v>199</v>
      </c>
      <c r="C80" s="89" t="s">
        <v>479</v>
      </c>
      <c r="D80" s="89" t="s">
        <v>479</v>
      </c>
      <c r="E80" s="89" t="s">
        <v>498</v>
      </c>
      <c r="F80" s="89" t="s">
        <v>479</v>
      </c>
      <c r="G80" s="89" t="s">
        <v>495</v>
      </c>
      <c r="H80" s="89" t="s">
        <v>496</v>
      </c>
      <c r="I80" s="214" t="s">
        <v>497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200</v>
      </c>
      <c r="C81" s="89" t="s">
        <v>479</v>
      </c>
      <c r="D81" s="89" t="s">
        <v>479</v>
      </c>
      <c r="E81" s="89" t="s">
        <v>498</v>
      </c>
      <c r="F81" s="89" t="s">
        <v>479</v>
      </c>
      <c r="G81" s="89" t="s">
        <v>495</v>
      </c>
      <c r="H81" s="89" t="s">
        <v>496</v>
      </c>
      <c r="I81" s="214" t="s">
        <v>497</v>
      </c>
      <c r="J81" s="89">
        <f t="shared" si="3"/>
        <v>0</v>
      </c>
      <c r="K81" s="249"/>
    </row>
    <row r="82" spans="1:12" ht="15" hidden="1" x14ac:dyDescent="0.25">
      <c r="A82" s="116"/>
      <c r="B82" s="95" t="s">
        <v>201</v>
      </c>
      <c r="C82" s="89" t="s">
        <v>479</v>
      </c>
      <c r="D82" s="89" t="s">
        <v>479</v>
      </c>
      <c r="E82" s="89" t="s">
        <v>498</v>
      </c>
      <c r="F82" s="89" t="s">
        <v>479</v>
      </c>
      <c r="G82" s="89" t="s">
        <v>495</v>
      </c>
      <c r="H82" s="89" t="s">
        <v>496</v>
      </c>
      <c r="I82" s="214" t="s">
        <v>497</v>
      </c>
      <c r="J82" s="89">
        <f t="shared" si="3"/>
        <v>0</v>
      </c>
      <c r="K82" s="249"/>
    </row>
    <row r="83" spans="1:12" ht="15" hidden="1" x14ac:dyDescent="0.25">
      <c r="A83" s="116"/>
      <c r="B83" s="95" t="s">
        <v>202</v>
      </c>
      <c r="C83" s="89" t="s">
        <v>479</v>
      </c>
      <c r="D83" s="89" t="s">
        <v>479</v>
      </c>
      <c r="E83" s="89" t="s">
        <v>498</v>
      </c>
      <c r="F83" s="89" t="s">
        <v>479</v>
      </c>
      <c r="G83" s="89" t="s">
        <v>495</v>
      </c>
      <c r="H83" s="89" t="s">
        <v>496</v>
      </c>
      <c r="I83" s="214" t="s">
        <v>497</v>
      </c>
      <c r="J83" s="89">
        <f t="shared" si="3"/>
        <v>0</v>
      </c>
      <c r="K83" s="249"/>
    </row>
    <row r="84" spans="1:12" ht="15" hidden="1" x14ac:dyDescent="0.25">
      <c r="A84" s="116"/>
      <c r="B84" s="95" t="s">
        <v>203</v>
      </c>
      <c r="C84" s="89" t="s">
        <v>479</v>
      </c>
      <c r="D84" s="89" t="s">
        <v>479</v>
      </c>
      <c r="E84" s="89" t="s">
        <v>498</v>
      </c>
      <c r="F84" s="89" t="s">
        <v>479</v>
      </c>
      <c r="G84" s="89" t="s">
        <v>495</v>
      </c>
      <c r="H84" s="89" t="s">
        <v>496</v>
      </c>
      <c r="I84" s="214" t="s">
        <v>497</v>
      </c>
      <c r="J84" s="89">
        <f t="shared" si="3"/>
        <v>0</v>
      </c>
      <c r="K84" s="249"/>
    </row>
    <row r="85" spans="1:12" ht="15" hidden="1" x14ac:dyDescent="0.25">
      <c r="A85" s="116"/>
      <c r="B85" s="95" t="s">
        <v>204</v>
      </c>
      <c r="C85" s="89" t="s">
        <v>479</v>
      </c>
      <c r="D85" s="89" t="s">
        <v>479</v>
      </c>
      <c r="E85" s="89" t="s">
        <v>498</v>
      </c>
      <c r="F85" s="89" t="s">
        <v>479</v>
      </c>
      <c r="G85" s="89" t="s">
        <v>495</v>
      </c>
      <c r="H85" s="89" t="s">
        <v>496</v>
      </c>
      <c r="I85" s="214" t="s">
        <v>497</v>
      </c>
      <c r="J85" s="89">
        <f t="shared" si="3"/>
        <v>0</v>
      </c>
      <c r="K85" s="249"/>
    </row>
    <row r="86" spans="1:12" ht="15" x14ac:dyDescent="0.25">
      <c r="A86" s="116"/>
      <c r="B86" s="95" t="s">
        <v>205</v>
      </c>
      <c r="C86" s="89">
        <v>1003894</v>
      </c>
      <c r="D86" s="89">
        <v>490663</v>
      </c>
      <c r="E86" s="89">
        <v>1081111</v>
      </c>
      <c r="F86" s="89" t="s">
        <v>479</v>
      </c>
      <c r="G86" s="89" t="s">
        <v>495</v>
      </c>
      <c r="H86" s="89" t="s">
        <v>496</v>
      </c>
      <c r="I86" s="214" t="s">
        <v>497</v>
      </c>
      <c r="J86" s="89">
        <f t="shared" si="3"/>
        <v>2575668</v>
      </c>
      <c r="K86" s="249"/>
    </row>
    <row r="87" spans="1:12" x14ac:dyDescent="0.2">
      <c r="A87" s="116"/>
      <c r="B87" s="95" t="s">
        <v>206</v>
      </c>
      <c r="C87" s="89">
        <v>161704</v>
      </c>
      <c r="D87" s="89">
        <v>136018</v>
      </c>
      <c r="E87" s="89">
        <v>1146602</v>
      </c>
      <c r="F87" s="89" t="s">
        <v>479</v>
      </c>
      <c r="G87" s="89" t="s">
        <v>495</v>
      </c>
      <c r="H87" s="89">
        <v>86505</v>
      </c>
      <c r="I87" s="214" t="s">
        <v>497</v>
      </c>
      <c r="J87" s="89">
        <f t="shared" si="3"/>
        <v>1530829</v>
      </c>
      <c r="K87" s="252"/>
    </row>
    <row r="88" spans="1:12" hidden="1" x14ac:dyDescent="0.2">
      <c r="A88" s="116"/>
      <c r="B88" s="95" t="s">
        <v>207</v>
      </c>
      <c r="C88" s="89" t="s">
        <v>479</v>
      </c>
      <c r="D88" s="89" t="s">
        <v>479</v>
      </c>
      <c r="E88" s="89" t="s">
        <v>498</v>
      </c>
      <c r="F88" s="89" t="s">
        <v>479</v>
      </c>
      <c r="G88" s="89" t="s">
        <v>495</v>
      </c>
      <c r="H88" s="89" t="s">
        <v>496</v>
      </c>
      <c r="I88" s="214" t="s">
        <v>497</v>
      </c>
      <c r="J88" s="89">
        <f t="shared" si="3"/>
        <v>0</v>
      </c>
      <c r="K88" s="252"/>
    </row>
    <row r="89" spans="1:12" ht="15" hidden="1" x14ac:dyDescent="0.25">
      <c r="A89" s="116"/>
      <c r="B89" s="95" t="s">
        <v>208</v>
      </c>
      <c r="C89" s="89" t="s">
        <v>479</v>
      </c>
      <c r="D89" s="89" t="s">
        <v>479</v>
      </c>
      <c r="E89" s="89" t="s">
        <v>498</v>
      </c>
      <c r="F89" s="89" t="s">
        <v>479</v>
      </c>
      <c r="G89" s="89" t="s">
        <v>495</v>
      </c>
      <c r="H89" s="89" t="s">
        <v>496</v>
      </c>
      <c r="I89" s="214" t="s">
        <v>497</v>
      </c>
      <c r="J89" s="89">
        <f t="shared" si="3"/>
        <v>0</v>
      </c>
      <c r="K89" s="249"/>
    </row>
    <row r="90" spans="1:12" ht="15" hidden="1" x14ac:dyDescent="0.25">
      <c r="A90" s="116"/>
      <c r="B90" s="95" t="s">
        <v>209</v>
      </c>
      <c r="C90" s="89" t="s">
        <v>479</v>
      </c>
      <c r="D90" s="89" t="s">
        <v>479</v>
      </c>
      <c r="E90" s="89" t="s">
        <v>498</v>
      </c>
      <c r="F90" s="89" t="s">
        <v>479</v>
      </c>
      <c r="G90" s="89" t="s">
        <v>495</v>
      </c>
      <c r="H90" s="89" t="s">
        <v>496</v>
      </c>
      <c r="I90" s="214" t="s">
        <v>497</v>
      </c>
      <c r="J90" s="89">
        <f t="shared" si="3"/>
        <v>0</v>
      </c>
      <c r="K90" s="249"/>
    </row>
    <row r="91" spans="1:12" ht="15" x14ac:dyDescent="0.25">
      <c r="A91" s="116"/>
      <c r="B91" s="95" t="s">
        <v>210</v>
      </c>
      <c r="C91" s="89" t="s">
        <v>479</v>
      </c>
      <c r="D91" s="89" t="s">
        <v>479</v>
      </c>
      <c r="E91" s="89">
        <v>5000</v>
      </c>
      <c r="F91" s="89" t="s">
        <v>479</v>
      </c>
      <c r="G91" s="89" t="s">
        <v>495</v>
      </c>
      <c r="H91" s="89">
        <v>262281</v>
      </c>
      <c r="I91" s="214" t="s">
        <v>497</v>
      </c>
      <c r="J91" s="89">
        <f t="shared" si="3"/>
        <v>267281</v>
      </c>
      <c r="K91" s="249"/>
      <c r="L91" s="77"/>
    </row>
    <row r="92" spans="1:12" ht="15" hidden="1" x14ac:dyDescent="0.25">
      <c r="A92" s="116"/>
      <c r="B92" s="95" t="s">
        <v>211</v>
      </c>
      <c r="C92" s="89" t="s">
        <v>479</v>
      </c>
      <c r="D92" s="89" t="s">
        <v>479</v>
      </c>
      <c r="E92" s="89" t="s">
        <v>498</v>
      </c>
      <c r="F92" s="89" t="s">
        <v>479</v>
      </c>
      <c r="G92" s="89" t="s">
        <v>495</v>
      </c>
      <c r="H92" s="89" t="s">
        <v>496</v>
      </c>
      <c r="I92" s="214" t="s">
        <v>497</v>
      </c>
      <c r="J92" s="89">
        <f t="shared" si="3"/>
        <v>0</v>
      </c>
      <c r="K92" s="249"/>
      <c r="L92" s="77"/>
    </row>
    <row r="93" spans="1:12" ht="15" hidden="1" x14ac:dyDescent="0.25">
      <c r="A93" s="116"/>
      <c r="B93" s="95" t="s">
        <v>212</v>
      </c>
      <c r="C93" s="89" t="s">
        <v>479</v>
      </c>
      <c r="D93" s="89" t="s">
        <v>479</v>
      </c>
      <c r="E93" s="89" t="s">
        <v>498</v>
      </c>
      <c r="F93" s="89" t="s">
        <v>479</v>
      </c>
      <c r="G93" s="89" t="s">
        <v>495</v>
      </c>
      <c r="H93" s="89" t="s">
        <v>496</v>
      </c>
      <c r="I93" s="214" t="s">
        <v>497</v>
      </c>
      <c r="J93" s="89">
        <f t="shared" si="3"/>
        <v>0</v>
      </c>
      <c r="K93" s="249"/>
      <c r="L93" s="77"/>
    </row>
    <row r="94" spans="1:12" ht="15" hidden="1" x14ac:dyDescent="0.25">
      <c r="A94" s="116"/>
      <c r="B94" s="95" t="s">
        <v>213</v>
      </c>
      <c r="C94" s="89" t="s">
        <v>479</v>
      </c>
      <c r="D94" s="89" t="s">
        <v>479</v>
      </c>
      <c r="E94" s="89" t="s">
        <v>498</v>
      </c>
      <c r="F94" s="89" t="s">
        <v>479</v>
      </c>
      <c r="G94" s="89" t="s">
        <v>495</v>
      </c>
      <c r="H94" s="89" t="s">
        <v>496</v>
      </c>
      <c r="I94" s="214" t="s">
        <v>497</v>
      </c>
      <c r="J94" s="89">
        <f t="shared" si="3"/>
        <v>0</v>
      </c>
      <c r="K94" s="249"/>
      <c r="L94" s="77"/>
    </row>
    <row r="95" spans="1:12" hidden="1" x14ac:dyDescent="0.2">
      <c r="A95" s="116"/>
      <c r="B95" s="95" t="s">
        <v>214</v>
      </c>
      <c r="C95" s="89" t="s">
        <v>479</v>
      </c>
      <c r="D95" s="89" t="s">
        <v>479</v>
      </c>
      <c r="E95" s="89" t="s">
        <v>498</v>
      </c>
      <c r="F95" s="89" t="s">
        <v>479</v>
      </c>
      <c r="G95" s="89" t="s">
        <v>495</v>
      </c>
      <c r="H95" s="89" t="s">
        <v>496</v>
      </c>
      <c r="I95" s="214" t="s">
        <v>497</v>
      </c>
      <c r="J95" s="89">
        <f t="shared" si="3"/>
        <v>0</v>
      </c>
      <c r="K95" s="252"/>
    </row>
    <row r="96" spans="1:12" hidden="1" x14ac:dyDescent="0.2">
      <c r="A96" s="116"/>
      <c r="B96" s="95" t="s">
        <v>215</v>
      </c>
      <c r="C96" s="89" t="s">
        <v>479</v>
      </c>
      <c r="D96" s="89" t="s">
        <v>479</v>
      </c>
      <c r="E96" s="89" t="s">
        <v>498</v>
      </c>
      <c r="F96" s="89" t="s">
        <v>479</v>
      </c>
      <c r="G96" s="89" t="s">
        <v>495</v>
      </c>
      <c r="H96" s="89" t="s">
        <v>496</v>
      </c>
      <c r="I96" s="214" t="s">
        <v>497</v>
      </c>
      <c r="J96" s="89">
        <f t="shared" si="3"/>
        <v>0</v>
      </c>
      <c r="K96" s="252"/>
    </row>
    <row r="97" spans="1:11" hidden="1" x14ac:dyDescent="0.2">
      <c r="A97" s="116"/>
      <c r="B97" s="95" t="s">
        <v>216</v>
      </c>
      <c r="C97" s="89" t="s">
        <v>479</v>
      </c>
      <c r="D97" s="89" t="s">
        <v>479</v>
      </c>
      <c r="E97" s="89" t="s">
        <v>498</v>
      </c>
      <c r="F97" s="89" t="s">
        <v>479</v>
      </c>
      <c r="G97" s="89" t="s">
        <v>495</v>
      </c>
      <c r="H97" s="89" t="s">
        <v>496</v>
      </c>
      <c r="I97" s="214" t="s">
        <v>497</v>
      </c>
      <c r="J97" s="89">
        <f t="shared" si="3"/>
        <v>0</v>
      </c>
      <c r="K97" s="252"/>
    </row>
    <row r="98" spans="1:11" hidden="1" x14ac:dyDescent="0.2">
      <c r="A98" s="116"/>
      <c r="B98" s="95" t="s">
        <v>217</v>
      </c>
      <c r="C98" s="89" t="s">
        <v>479</v>
      </c>
      <c r="D98" s="89" t="s">
        <v>479</v>
      </c>
      <c r="E98" s="89" t="s">
        <v>498</v>
      </c>
      <c r="F98" s="89" t="s">
        <v>479</v>
      </c>
      <c r="G98" s="89" t="s">
        <v>495</v>
      </c>
      <c r="H98" s="89" t="s">
        <v>496</v>
      </c>
      <c r="I98" s="214" t="s">
        <v>497</v>
      </c>
      <c r="J98" s="89">
        <f t="shared" si="3"/>
        <v>0</v>
      </c>
      <c r="K98" s="252"/>
    </row>
    <row r="99" spans="1:11" hidden="1" x14ac:dyDescent="0.2">
      <c r="A99" s="116"/>
      <c r="B99" s="95" t="s">
        <v>218</v>
      </c>
      <c r="C99" s="89" t="s">
        <v>479</v>
      </c>
      <c r="D99" s="89" t="s">
        <v>479</v>
      </c>
      <c r="E99" s="89" t="s">
        <v>498</v>
      </c>
      <c r="F99" s="89" t="s">
        <v>479</v>
      </c>
      <c r="G99" s="89" t="s">
        <v>495</v>
      </c>
      <c r="H99" s="89" t="s">
        <v>496</v>
      </c>
      <c r="I99" s="214" t="s">
        <v>497</v>
      </c>
      <c r="J99" s="89">
        <f t="shared" si="3"/>
        <v>0</v>
      </c>
      <c r="K99" s="252"/>
    </row>
    <row r="100" spans="1:11" hidden="1" x14ac:dyDescent="0.2">
      <c r="A100" s="116"/>
      <c r="B100" s="95" t="s">
        <v>219</v>
      </c>
      <c r="C100" s="89" t="s">
        <v>479</v>
      </c>
      <c r="D100" s="89" t="s">
        <v>479</v>
      </c>
      <c r="E100" s="89" t="s">
        <v>498</v>
      </c>
      <c r="F100" s="89" t="s">
        <v>479</v>
      </c>
      <c r="G100" s="89" t="s">
        <v>495</v>
      </c>
      <c r="H100" s="89" t="s">
        <v>496</v>
      </c>
      <c r="I100" s="214" t="s">
        <v>497</v>
      </c>
      <c r="J100" s="89">
        <f t="shared" si="3"/>
        <v>0</v>
      </c>
      <c r="K100" s="252"/>
    </row>
    <row r="101" spans="1:11" ht="15" hidden="1" x14ac:dyDescent="0.25">
      <c r="A101" s="251"/>
      <c r="B101" s="100" t="s">
        <v>220</v>
      </c>
      <c r="C101" s="89" t="s">
        <v>479</v>
      </c>
      <c r="D101" s="89" t="s">
        <v>479</v>
      </c>
      <c r="E101" s="89" t="s">
        <v>498</v>
      </c>
      <c r="F101" s="89" t="s">
        <v>479</v>
      </c>
      <c r="G101" s="89" t="s">
        <v>495</v>
      </c>
      <c r="H101" s="89" t="s">
        <v>496</v>
      </c>
      <c r="I101" s="214" t="s">
        <v>497</v>
      </c>
      <c r="J101" s="89">
        <f t="shared" si="3"/>
        <v>0</v>
      </c>
      <c r="K101" s="249"/>
    </row>
    <row r="102" spans="1:11" ht="15" hidden="1" x14ac:dyDescent="0.25">
      <c r="A102" s="251"/>
      <c r="B102" s="100" t="s">
        <v>221</v>
      </c>
      <c r="C102" s="89" t="s">
        <v>479</v>
      </c>
      <c r="D102" s="89" t="s">
        <v>479</v>
      </c>
      <c r="E102" s="89" t="s">
        <v>498</v>
      </c>
      <c r="F102" s="89" t="s">
        <v>479</v>
      </c>
      <c r="G102" s="89" t="s">
        <v>495</v>
      </c>
      <c r="H102" s="89" t="s">
        <v>496</v>
      </c>
      <c r="I102" s="214" t="s">
        <v>497</v>
      </c>
      <c r="J102" s="89">
        <f t="shared" si="3"/>
        <v>0</v>
      </c>
      <c r="K102" s="249"/>
    </row>
    <row r="103" spans="1:11" x14ac:dyDescent="0.2">
      <c r="A103" s="210" t="s">
        <v>10</v>
      </c>
      <c r="B103" s="211" t="s">
        <v>142</v>
      </c>
      <c r="C103" s="89">
        <v>71633</v>
      </c>
      <c r="D103" s="89">
        <v>29054</v>
      </c>
      <c r="E103" s="89">
        <v>37913</v>
      </c>
      <c r="F103" s="89" t="s">
        <v>479</v>
      </c>
      <c r="G103" s="89" t="s">
        <v>495</v>
      </c>
      <c r="H103" s="89" t="s">
        <v>496</v>
      </c>
      <c r="I103" s="214" t="s">
        <v>497</v>
      </c>
      <c r="J103" s="89">
        <f t="shared" si="3"/>
        <v>138600</v>
      </c>
      <c r="K103" s="255"/>
    </row>
    <row r="104" spans="1:11" x14ac:dyDescent="0.2">
      <c r="A104" s="210" t="s">
        <v>10</v>
      </c>
      <c r="B104" s="211" t="s">
        <v>141</v>
      </c>
      <c r="C104" s="89">
        <v>167434</v>
      </c>
      <c r="D104" s="89">
        <v>100660</v>
      </c>
      <c r="E104" s="89">
        <v>37914</v>
      </c>
      <c r="F104" s="89" t="s">
        <v>479</v>
      </c>
      <c r="G104" s="89" t="s">
        <v>495</v>
      </c>
      <c r="H104" s="89" t="s">
        <v>496</v>
      </c>
      <c r="I104" s="214" t="s">
        <v>497</v>
      </c>
      <c r="J104" s="89">
        <f t="shared" si="3"/>
        <v>306008</v>
      </c>
      <c r="K104" s="255"/>
    </row>
    <row r="105" spans="1:11" hidden="1" x14ac:dyDescent="0.2">
      <c r="A105" s="210" t="s">
        <v>33</v>
      </c>
      <c r="B105" s="211" t="s">
        <v>222</v>
      </c>
      <c r="C105" s="89" t="s">
        <v>479</v>
      </c>
      <c r="D105" s="89" t="s">
        <v>479</v>
      </c>
      <c r="E105" s="89" t="s">
        <v>498</v>
      </c>
      <c r="F105" s="89" t="s">
        <v>479</v>
      </c>
      <c r="G105" s="89" t="s">
        <v>495</v>
      </c>
      <c r="H105" s="89" t="s">
        <v>496</v>
      </c>
      <c r="I105" s="214" t="s">
        <v>497</v>
      </c>
      <c r="J105" s="89">
        <f t="shared" si="3"/>
        <v>0</v>
      </c>
      <c r="K105" s="255"/>
    </row>
    <row r="106" spans="1:11" hidden="1" x14ac:dyDescent="0.2">
      <c r="A106" s="210" t="s">
        <v>10</v>
      </c>
      <c r="B106" s="211" t="s">
        <v>138</v>
      </c>
      <c r="C106" s="89" t="s">
        <v>479</v>
      </c>
      <c r="D106" s="89" t="s">
        <v>479</v>
      </c>
      <c r="E106" s="89" t="s">
        <v>498</v>
      </c>
      <c r="F106" s="89" t="s">
        <v>479</v>
      </c>
      <c r="G106" s="89" t="s">
        <v>495</v>
      </c>
      <c r="H106" s="89" t="s">
        <v>496</v>
      </c>
      <c r="I106" s="214" t="s">
        <v>497</v>
      </c>
      <c r="J106" s="89">
        <f t="shared" si="3"/>
        <v>0</v>
      </c>
      <c r="K106" s="255"/>
    </row>
    <row r="107" spans="1:11" x14ac:dyDescent="0.2">
      <c r="A107" s="210" t="s">
        <v>10</v>
      </c>
      <c r="B107" s="211" t="s">
        <v>136</v>
      </c>
      <c r="C107" s="89">
        <v>3058259</v>
      </c>
      <c r="D107" s="89">
        <v>1622369</v>
      </c>
      <c r="E107" s="89">
        <v>509725</v>
      </c>
      <c r="F107" s="89" t="s">
        <v>479</v>
      </c>
      <c r="G107" s="89" t="s">
        <v>495</v>
      </c>
      <c r="H107" s="89">
        <v>104550</v>
      </c>
      <c r="I107" s="214" t="s">
        <v>497</v>
      </c>
      <c r="J107" s="89">
        <f t="shared" si="3"/>
        <v>5294903</v>
      </c>
      <c r="K107" s="255"/>
    </row>
    <row r="108" spans="1:11" hidden="1" x14ac:dyDescent="0.2">
      <c r="A108" s="257"/>
      <c r="B108" s="95" t="s">
        <v>223</v>
      </c>
      <c r="C108" s="89" t="s">
        <v>479</v>
      </c>
      <c r="D108" s="89" t="s">
        <v>479</v>
      </c>
      <c r="E108" s="89" t="s">
        <v>498</v>
      </c>
      <c r="F108" s="89" t="s">
        <v>479</v>
      </c>
      <c r="G108" s="89" t="s">
        <v>495</v>
      </c>
      <c r="H108" s="89" t="s">
        <v>496</v>
      </c>
      <c r="I108" s="214" t="s">
        <v>497</v>
      </c>
      <c r="J108" s="89">
        <f t="shared" si="3"/>
        <v>0</v>
      </c>
      <c r="K108" s="252"/>
    </row>
    <row r="109" spans="1:11" hidden="1" x14ac:dyDescent="0.2">
      <c r="A109" s="257"/>
      <c r="B109" s="95" t="s">
        <v>224</v>
      </c>
      <c r="C109" s="89" t="s">
        <v>479</v>
      </c>
      <c r="D109" s="89" t="s">
        <v>479</v>
      </c>
      <c r="E109" s="89" t="s">
        <v>498</v>
      </c>
      <c r="F109" s="89" t="s">
        <v>479</v>
      </c>
      <c r="G109" s="89" t="s">
        <v>495</v>
      </c>
      <c r="H109" s="89" t="s">
        <v>496</v>
      </c>
      <c r="I109" s="214" t="s">
        <v>497</v>
      </c>
      <c r="J109" s="89">
        <f t="shared" si="3"/>
        <v>0</v>
      </c>
      <c r="K109" s="252"/>
    </row>
    <row r="110" spans="1:11" hidden="1" x14ac:dyDescent="0.2">
      <c r="A110" s="257"/>
      <c r="B110" s="95" t="s">
        <v>225</v>
      </c>
      <c r="C110" s="89" t="s">
        <v>479</v>
      </c>
      <c r="D110" s="89" t="s">
        <v>479</v>
      </c>
      <c r="E110" s="89" t="s">
        <v>498</v>
      </c>
      <c r="F110" s="89" t="s">
        <v>479</v>
      </c>
      <c r="G110" s="89" t="s">
        <v>495</v>
      </c>
      <c r="H110" s="89" t="s">
        <v>496</v>
      </c>
      <c r="I110" s="214" t="s">
        <v>497</v>
      </c>
      <c r="J110" s="89">
        <f t="shared" si="3"/>
        <v>0</v>
      </c>
      <c r="K110" s="252"/>
    </row>
    <row r="111" spans="1:11" hidden="1" x14ac:dyDescent="0.2">
      <c r="A111" s="257"/>
      <c r="B111" s="95" t="s">
        <v>226</v>
      </c>
      <c r="C111" s="89" t="s">
        <v>479</v>
      </c>
      <c r="D111" s="89" t="s">
        <v>479</v>
      </c>
      <c r="E111" s="89" t="s">
        <v>498</v>
      </c>
      <c r="F111" s="89" t="s">
        <v>479</v>
      </c>
      <c r="G111" s="89" t="s">
        <v>495</v>
      </c>
      <c r="H111" s="89" t="s">
        <v>496</v>
      </c>
      <c r="I111" s="214" t="s">
        <v>497</v>
      </c>
      <c r="J111" s="89">
        <f t="shared" si="3"/>
        <v>0</v>
      </c>
      <c r="K111" s="252"/>
    </row>
    <row r="112" spans="1:11" ht="15" hidden="1" x14ac:dyDescent="0.25">
      <c r="A112" s="116"/>
      <c r="B112" s="95" t="s">
        <v>227</v>
      </c>
      <c r="C112" s="89" t="s">
        <v>479</v>
      </c>
      <c r="D112" s="89" t="s">
        <v>479</v>
      </c>
      <c r="E112" s="89" t="s">
        <v>498</v>
      </c>
      <c r="F112" s="89" t="s">
        <v>479</v>
      </c>
      <c r="G112" s="89" t="s">
        <v>495</v>
      </c>
      <c r="H112" s="89" t="s">
        <v>496</v>
      </c>
      <c r="I112" s="214" t="s">
        <v>497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228</v>
      </c>
      <c r="C113" s="89" t="s">
        <v>479</v>
      </c>
      <c r="D113" s="89" t="s">
        <v>479</v>
      </c>
      <c r="E113" s="89" t="s">
        <v>498</v>
      </c>
      <c r="F113" s="89" t="s">
        <v>479</v>
      </c>
      <c r="G113" s="89" t="s">
        <v>495</v>
      </c>
      <c r="H113" s="89" t="s">
        <v>496</v>
      </c>
      <c r="I113" s="214" t="s">
        <v>497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229</v>
      </c>
      <c r="C114" s="89" t="s">
        <v>479</v>
      </c>
      <c r="D114" s="89" t="s">
        <v>479</v>
      </c>
      <c r="E114" s="89" t="s">
        <v>498</v>
      </c>
      <c r="F114" s="89" t="s">
        <v>479</v>
      </c>
      <c r="G114" s="89" t="s">
        <v>495</v>
      </c>
      <c r="H114" s="89" t="s">
        <v>496</v>
      </c>
      <c r="I114" s="214" t="s">
        <v>497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230</v>
      </c>
      <c r="C115" s="89" t="s">
        <v>479</v>
      </c>
      <c r="D115" s="89" t="s">
        <v>479</v>
      </c>
      <c r="E115" s="89" t="s">
        <v>498</v>
      </c>
      <c r="F115" s="89" t="s">
        <v>479</v>
      </c>
      <c r="G115" s="89" t="s">
        <v>495</v>
      </c>
      <c r="H115" s="89" t="s">
        <v>496</v>
      </c>
      <c r="I115" s="214" t="s">
        <v>497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231</v>
      </c>
      <c r="C116" s="89" t="s">
        <v>479</v>
      </c>
      <c r="D116" s="89" t="s">
        <v>479</v>
      </c>
      <c r="E116" s="89" t="s">
        <v>498</v>
      </c>
      <c r="F116" s="89" t="s">
        <v>479</v>
      </c>
      <c r="G116" s="89" t="s">
        <v>495</v>
      </c>
      <c r="H116" s="89" t="s">
        <v>496</v>
      </c>
      <c r="I116" s="214" t="s">
        <v>497</v>
      </c>
      <c r="J116" s="89">
        <f t="shared" si="3"/>
        <v>0</v>
      </c>
      <c r="K116" s="249"/>
    </row>
    <row r="117" spans="1:11" ht="15" hidden="1" x14ac:dyDescent="0.25">
      <c r="A117" s="116"/>
      <c r="B117" s="95" t="s">
        <v>232</v>
      </c>
      <c r="C117" s="89" t="s">
        <v>479</v>
      </c>
      <c r="D117" s="89" t="s">
        <v>479</v>
      </c>
      <c r="E117" s="89" t="s">
        <v>498</v>
      </c>
      <c r="F117" s="89" t="s">
        <v>479</v>
      </c>
      <c r="G117" s="89" t="s">
        <v>495</v>
      </c>
      <c r="H117" s="89" t="s">
        <v>496</v>
      </c>
      <c r="I117" s="214" t="s">
        <v>497</v>
      </c>
      <c r="J117" s="89">
        <f t="shared" si="3"/>
        <v>0</v>
      </c>
      <c r="K117" s="249"/>
    </row>
    <row r="118" spans="1:11" ht="15" hidden="1" x14ac:dyDescent="0.25">
      <c r="A118" s="116"/>
      <c r="B118" s="95" t="s">
        <v>233</v>
      </c>
      <c r="C118" s="89" t="s">
        <v>479</v>
      </c>
      <c r="D118" s="89" t="s">
        <v>479</v>
      </c>
      <c r="E118" s="89" t="s">
        <v>498</v>
      </c>
      <c r="F118" s="89" t="s">
        <v>479</v>
      </c>
      <c r="G118" s="89" t="s">
        <v>495</v>
      </c>
      <c r="H118" s="89" t="s">
        <v>496</v>
      </c>
      <c r="I118" s="214" t="s">
        <v>497</v>
      </c>
      <c r="J118" s="89">
        <f t="shared" si="3"/>
        <v>0</v>
      </c>
      <c r="K118" s="249"/>
    </row>
    <row r="119" spans="1:11" ht="15" hidden="1" x14ac:dyDescent="0.25">
      <c r="A119" s="116"/>
      <c r="B119" s="95" t="s">
        <v>234</v>
      </c>
      <c r="C119" s="89" t="s">
        <v>479</v>
      </c>
      <c r="D119" s="89" t="s">
        <v>479</v>
      </c>
      <c r="E119" s="89" t="s">
        <v>498</v>
      </c>
      <c r="F119" s="89" t="s">
        <v>479</v>
      </c>
      <c r="G119" s="89" t="s">
        <v>495</v>
      </c>
      <c r="H119" s="89" t="s">
        <v>496</v>
      </c>
      <c r="I119" s="214" t="s">
        <v>497</v>
      </c>
      <c r="J119" s="89">
        <f t="shared" si="3"/>
        <v>0</v>
      </c>
      <c r="K119" s="249"/>
    </row>
    <row r="120" spans="1:11" ht="15" hidden="1" x14ac:dyDescent="0.25">
      <c r="A120" s="116"/>
      <c r="B120" s="95" t="s">
        <v>9</v>
      </c>
      <c r="C120" s="89" t="s">
        <v>479</v>
      </c>
      <c r="D120" s="89" t="s">
        <v>479</v>
      </c>
      <c r="E120" s="89" t="s">
        <v>498</v>
      </c>
      <c r="F120" s="89" t="s">
        <v>479</v>
      </c>
      <c r="G120" s="89" t="s">
        <v>495</v>
      </c>
      <c r="H120" s="89" t="s">
        <v>496</v>
      </c>
      <c r="I120" s="214" t="s">
        <v>497</v>
      </c>
      <c r="J120" s="89">
        <f t="shared" si="3"/>
        <v>0</v>
      </c>
      <c r="K120" s="249"/>
    </row>
    <row r="121" spans="1:11" ht="15" hidden="1" x14ac:dyDescent="0.25">
      <c r="A121" s="116"/>
      <c r="B121" s="95" t="s">
        <v>235</v>
      </c>
      <c r="C121" s="89" t="s">
        <v>479</v>
      </c>
      <c r="D121" s="89" t="s">
        <v>479</v>
      </c>
      <c r="E121" s="89" t="s">
        <v>498</v>
      </c>
      <c r="F121" s="89" t="s">
        <v>479</v>
      </c>
      <c r="G121" s="89" t="s">
        <v>495</v>
      </c>
      <c r="H121" s="89" t="s">
        <v>496</v>
      </c>
      <c r="I121" s="214" t="s">
        <v>497</v>
      </c>
      <c r="J121" s="89">
        <f t="shared" si="3"/>
        <v>0</v>
      </c>
      <c r="K121" s="249"/>
    </row>
    <row r="122" spans="1:11" ht="15" hidden="1" x14ac:dyDescent="0.25">
      <c r="A122" s="116"/>
      <c r="B122" s="95" t="s">
        <v>236</v>
      </c>
      <c r="C122" s="89" t="s">
        <v>479</v>
      </c>
      <c r="D122" s="89" t="s">
        <v>479</v>
      </c>
      <c r="E122" s="89" t="s">
        <v>498</v>
      </c>
      <c r="F122" s="89" t="s">
        <v>479</v>
      </c>
      <c r="G122" s="89" t="s">
        <v>495</v>
      </c>
      <c r="H122" s="89" t="s">
        <v>496</v>
      </c>
      <c r="I122" s="214" t="s">
        <v>497</v>
      </c>
      <c r="J122" s="89">
        <f t="shared" si="3"/>
        <v>0</v>
      </c>
      <c r="K122" s="249"/>
    </row>
    <row r="123" spans="1:11" ht="15" x14ac:dyDescent="0.25">
      <c r="A123" s="116"/>
      <c r="B123" s="95" t="s">
        <v>237</v>
      </c>
      <c r="C123" s="89">
        <v>878751</v>
      </c>
      <c r="D123" s="89">
        <v>374136</v>
      </c>
      <c r="E123" s="89">
        <v>1623751</v>
      </c>
      <c r="F123" s="89" t="s">
        <v>479</v>
      </c>
      <c r="G123" s="89" t="s">
        <v>495</v>
      </c>
      <c r="H123" s="89" t="s">
        <v>496</v>
      </c>
      <c r="I123" s="214" t="s">
        <v>497</v>
      </c>
      <c r="J123" s="89">
        <f t="shared" si="3"/>
        <v>2876638</v>
      </c>
      <c r="K123" s="249"/>
    </row>
    <row r="124" spans="1:11" ht="15" hidden="1" x14ac:dyDescent="0.25">
      <c r="A124" s="116"/>
      <c r="B124" s="95" t="s">
        <v>238</v>
      </c>
      <c r="C124" s="89" t="s">
        <v>479</v>
      </c>
      <c r="D124" s="89" t="s">
        <v>479</v>
      </c>
      <c r="E124" s="89" t="s">
        <v>498</v>
      </c>
      <c r="F124" s="89" t="s">
        <v>479</v>
      </c>
      <c r="G124" s="89" t="s">
        <v>495</v>
      </c>
      <c r="H124" s="89" t="s">
        <v>496</v>
      </c>
      <c r="I124" s="214" t="s">
        <v>497</v>
      </c>
      <c r="J124" s="89">
        <f t="shared" si="3"/>
        <v>0</v>
      </c>
      <c r="K124" s="249"/>
    </row>
    <row r="125" spans="1:11" ht="15" hidden="1" x14ac:dyDescent="0.25">
      <c r="A125" s="251"/>
      <c r="B125" s="100" t="s">
        <v>239</v>
      </c>
      <c r="C125" s="89" t="s">
        <v>479</v>
      </c>
      <c r="D125" s="89" t="s">
        <v>479</v>
      </c>
      <c r="E125" s="89" t="s">
        <v>498</v>
      </c>
      <c r="F125" s="89" t="s">
        <v>479</v>
      </c>
      <c r="G125" s="89" t="s">
        <v>495</v>
      </c>
      <c r="H125" s="89" t="s">
        <v>496</v>
      </c>
      <c r="I125" s="214" t="s">
        <v>497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240</v>
      </c>
      <c r="C126" s="89" t="s">
        <v>479</v>
      </c>
      <c r="D126" s="89" t="s">
        <v>479</v>
      </c>
      <c r="E126" s="89" t="s">
        <v>498</v>
      </c>
      <c r="F126" s="89" t="s">
        <v>479</v>
      </c>
      <c r="G126" s="89" t="s">
        <v>495</v>
      </c>
      <c r="H126" s="89" t="s">
        <v>496</v>
      </c>
      <c r="I126" s="214" t="s">
        <v>497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241</v>
      </c>
      <c r="C127" s="89" t="s">
        <v>479</v>
      </c>
      <c r="D127" s="89" t="s">
        <v>479</v>
      </c>
      <c r="E127" s="89" t="s">
        <v>498</v>
      </c>
      <c r="F127" s="89" t="s">
        <v>479</v>
      </c>
      <c r="G127" s="89" t="s">
        <v>495</v>
      </c>
      <c r="H127" s="89" t="s">
        <v>496</v>
      </c>
      <c r="I127" s="214" t="s">
        <v>497</v>
      </c>
      <c r="J127" s="89">
        <f t="shared" si="3"/>
        <v>0</v>
      </c>
      <c r="K127" s="249"/>
    </row>
    <row r="128" spans="1:11" ht="15" hidden="1" x14ac:dyDescent="0.25">
      <c r="A128" s="258"/>
      <c r="B128" s="244" t="s">
        <v>242</v>
      </c>
      <c r="C128" s="89" t="s">
        <v>479</v>
      </c>
      <c r="D128" s="89" t="s">
        <v>479</v>
      </c>
      <c r="E128" s="89" t="s">
        <v>498</v>
      </c>
      <c r="F128" s="89" t="s">
        <v>479</v>
      </c>
      <c r="G128" s="89" t="s">
        <v>495</v>
      </c>
      <c r="H128" s="89" t="s">
        <v>496</v>
      </c>
      <c r="I128" s="214" t="s">
        <v>497</v>
      </c>
      <c r="J128" s="89">
        <f t="shared" si="3"/>
        <v>0</v>
      </c>
      <c r="K128" s="249"/>
    </row>
    <row r="129" spans="1:11" ht="15" hidden="1" x14ac:dyDescent="0.25">
      <c r="A129" s="251"/>
      <c r="B129" s="100" t="s">
        <v>243</v>
      </c>
      <c r="C129" s="89" t="s">
        <v>479</v>
      </c>
      <c r="D129" s="89" t="s">
        <v>479</v>
      </c>
      <c r="E129" s="89" t="s">
        <v>498</v>
      </c>
      <c r="F129" s="89" t="s">
        <v>479</v>
      </c>
      <c r="G129" s="89" t="s">
        <v>495</v>
      </c>
      <c r="H129" s="89" t="s">
        <v>496</v>
      </c>
      <c r="I129" s="214" t="s">
        <v>497</v>
      </c>
      <c r="J129" s="89">
        <f t="shared" si="3"/>
        <v>0</v>
      </c>
      <c r="K129" s="249"/>
    </row>
    <row r="130" spans="1:11" ht="15" hidden="1" x14ac:dyDescent="0.25">
      <c r="A130" s="251"/>
      <c r="B130" s="100" t="s">
        <v>244</v>
      </c>
      <c r="C130" s="89" t="s">
        <v>479</v>
      </c>
      <c r="D130" s="89" t="s">
        <v>479</v>
      </c>
      <c r="E130" s="89" t="s">
        <v>498</v>
      </c>
      <c r="F130" s="89" t="s">
        <v>479</v>
      </c>
      <c r="G130" s="89" t="s">
        <v>495</v>
      </c>
      <c r="H130" s="89" t="s">
        <v>496</v>
      </c>
      <c r="I130" s="214" t="s">
        <v>497</v>
      </c>
      <c r="J130" s="89">
        <f t="shared" si="3"/>
        <v>0</v>
      </c>
      <c r="K130" s="249"/>
    </row>
    <row r="131" spans="1:11" ht="15" x14ac:dyDescent="0.25">
      <c r="A131" s="260" t="s">
        <v>245</v>
      </c>
      <c r="B131" s="317"/>
      <c r="C131" s="89"/>
      <c r="D131" s="89"/>
      <c r="E131" s="89"/>
      <c r="F131" s="89"/>
      <c r="G131" s="89"/>
      <c r="H131" s="89"/>
      <c r="I131" s="214"/>
      <c r="J131" s="89">
        <f t="shared" si="3"/>
        <v>0</v>
      </c>
      <c r="K131" s="249"/>
    </row>
    <row r="132" spans="1:11" ht="15" hidden="1" x14ac:dyDescent="0.25">
      <c r="A132" s="116"/>
      <c r="B132" s="95" t="s">
        <v>246</v>
      </c>
      <c r="C132" s="89" t="s">
        <v>479</v>
      </c>
      <c r="D132" s="89" t="s">
        <v>479</v>
      </c>
      <c r="E132" s="89" t="s">
        <v>498</v>
      </c>
      <c r="F132" s="89" t="s">
        <v>479</v>
      </c>
      <c r="G132" s="89" t="s">
        <v>495</v>
      </c>
      <c r="H132" s="89" t="s">
        <v>496</v>
      </c>
      <c r="I132" s="214" t="s">
        <v>497</v>
      </c>
      <c r="J132" s="89">
        <f t="shared" si="3"/>
        <v>0</v>
      </c>
      <c r="K132" s="249"/>
    </row>
    <row r="133" spans="1:11" hidden="1" x14ac:dyDescent="0.2">
      <c r="A133" s="251"/>
      <c r="B133" s="100" t="s">
        <v>247</v>
      </c>
      <c r="C133" s="89" t="s">
        <v>479</v>
      </c>
      <c r="D133" s="89" t="s">
        <v>479</v>
      </c>
      <c r="E133" s="89" t="s">
        <v>498</v>
      </c>
      <c r="F133" s="89" t="s">
        <v>479</v>
      </c>
      <c r="G133" s="89" t="s">
        <v>495</v>
      </c>
      <c r="H133" s="89" t="s">
        <v>496</v>
      </c>
      <c r="I133" s="214" t="s">
        <v>497</v>
      </c>
      <c r="J133" s="89">
        <f t="shared" si="3"/>
        <v>0</v>
      </c>
      <c r="K133" s="252"/>
    </row>
    <row r="134" spans="1:11" hidden="1" x14ac:dyDescent="0.2">
      <c r="A134" s="116"/>
      <c r="B134" s="95" t="s">
        <v>248</v>
      </c>
      <c r="C134" s="89" t="s">
        <v>479</v>
      </c>
      <c r="D134" s="89" t="s">
        <v>479</v>
      </c>
      <c r="E134" s="89" t="s">
        <v>498</v>
      </c>
      <c r="F134" s="89" t="s">
        <v>479</v>
      </c>
      <c r="G134" s="89" t="s">
        <v>495</v>
      </c>
      <c r="H134" s="89" t="s">
        <v>496</v>
      </c>
      <c r="I134" s="214" t="s">
        <v>497</v>
      </c>
      <c r="J134" s="89">
        <f t="shared" si="3"/>
        <v>0</v>
      </c>
      <c r="K134" s="252"/>
    </row>
    <row r="135" spans="1:11" hidden="1" x14ac:dyDescent="0.2">
      <c r="A135" s="116"/>
      <c r="B135" s="95" t="s">
        <v>249</v>
      </c>
      <c r="C135" s="89" t="s">
        <v>479</v>
      </c>
      <c r="D135" s="89" t="s">
        <v>479</v>
      </c>
      <c r="E135" s="89" t="s">
        <v>498</v>
      </c>
      <c r="F135" s="89" t="s">
        <v>479</v>
      </c>
      <c r="G135" s="89" t="s">
        <v>495</v>
      </c>
      <c r="H135" s="89" t="s">
        <v>496</v>
      </c>
      <c r="I135" s="214" t="s">
        <v>497</v>
      </c>
      <c r="J135" s="89">
        <f t="shared" ref="J135:J150" si="4">SUM(C135:I135)</f>
        <v>0</v>
      </c>
      <c r="K135" s="252"/>
    </row>
    <row r="136" spans="1:11" hidden="1" x14ac:dyDescent="0.2">
      <c r="A136" s="116"/>
      <c r="B136" s="95" t="s">
        <v>250</v>
      </c>
      <c r="C136" s="89" t="s">
        <v>479</v>
      </c>
      <c r="D136" s="89" t="s">
        <v>479</v>
      </c>
      <c r="E136" s="89" t="s">
        <v>498</v>
      </c>
      <c r="F136" s="89" t="s">
        <v>479</v>
      </c>
      <c r="G136" s="89" t="s">
        <v>495</v>
      </c>
      <c r="H136" s="89" t="s">
        <v>496</v>
      </c>
      <c r="I136" s="214" t="s">
        <v>497</v>
      </c>
      <c r="J136" s="89">
        <f t="shared" si="4"/>
        <v>0</v>
      </c>
      <c r="K136" s="92"/>
    </row>
    <row r="137" spans="1:11" hidden="1" x14ac:dyDescent="0.2">
      <c r="A137" s="116"/>
      <c r="B137" s="95" t="s">
        <v>251</v>
      </c>
      <c r="C137" s="89" t="s">
        <v>479</v>
      </c>
      <c r="D137" s="89" t="s">
        <v>479</v>
      </c>
      <c r="E137" s="89" t="s">
        <v>498</v>
      </c>
      <c r="F137" s="89" t="s">
        <v>479</v>
      </c>
      <c r="G137" s="89" t="s">
        <v>495</v>
      </c>
      <c r="H137" s="89" t="s">
        <v>496</v>
      </c>
      <c r="I137" s="214" t="s">
        <v>497</v>
      </c>
      <c r="J137" s="89">
        <f t="shared" si="4"/>
        <v>0</v>
      </c>
      <c r="K137" s="92"/>
    </row>
    <row r="138" spans="1:11" hidden="1" x14ac:dyDescent="0.2">
      <c r="A138" s="116"/>
      <c r="B138" s="95" t="s">
        <v>252</v>
      </c>
      <c r="C138" s="89" t="s">
        <v>479</v>
      </c>
      <c r="D138" s="89" t="s">
        <v>479</v>
      </c>
      <c r="E138" s="89" t="s">
        <v>498</v>
      </c>
      <c r="F138" s="89" t="s">
        <v>479</v>
      </c>
      <c r="G138" s="89" t="s">
        <v>495</v>
      </c>
      <c r="H138" s="89" t="s">
        <v>496</v>
      </c>
      <c r="I138" s="214" t="s">
        <v>497</v>
      </c>
      <c r="J138" s="89">
        <f t="shared" si="4"/>
        <v>0</v>
      </c>
      <c r="K138" s="92"/>
    </row>
    <row r="139" spans="1:11" hidden="1" x14ac:dyDescent="0.2">
      <c r="A139" s="116"/>
      <c r="B139" s="95" t="s">
        <v>253</v>
      </c>
      <c r="C139" s="89" t="s">
        <v>479</v>
      </c>
      <c r="D139" s="89" t="s">
        <v>479</v>
      </c>
      <c r="E139" s="89" t="s">
        <v>498</v>
      </c>
      <c r="F139" s="89" t="s">
        <v>479</v>
      </c>
      <c r="G139" s="89" t="s">
        <v>495</v>
      </c>
      <c r="H139" s="89" t="s">
        <v>496</v>
      </c>
      <c r="I139" s="214" t="s">
        <v>497</v>
      </c>
      <c r="J139" s="89">
        <f t="shared" si="4"/>
        <v>0</v>
      </c>
      <c r="K139" s="92"/>
    </row>
    <row r="140" spans="1:11" hidden="1" x14ac:dyDescent="0.2">
      <c r="A140" s="116"/>
      <c r="B140" s="95" t="s">
        <v>254</v>
      </c>
      <c r="C140" s="89" t="s">
        <v>479</v>
      </c>
      <c r="D140" s="89" t="s">
        <v>479</v>
      </c>
      <c r="E140" s="89" t="s">
        <v>498</v>
      </c>
      <c r="F140" s="89" t="s">
        <v>479</v>
      </c>
      <c r="G140" s="89" t="s">
        <v>495</v>
      </c>
      <c r="H140" s="89" t="s">
        <v>496</v>
      </c>
      <c r="I140" s="214" t="s">
        <v>497</v>
      </c>
      <c r="J140" s="89">
        <f t="shared" si="4"/>
        <v>0</v>
      </c>
      <c r="K140" s="92"/>
    </row>
    <row r="141" spans="1:11" hidden="1" x14ac:dyDescent="0.2">
      <c r="A141" s="116"/>
      <c r="B141" s="95" t="s">
        <v>255</v>
      </c>
      <c r="C141" s="89" t="s">
        <v>479</v>
      </c>
      <c r="D141" s="89" t="s">
        <v>479</v>
      </c>
      <c r="E141" s="89" t="s">
        <v>498</v>
      </c>
      <c r="F141" s="89" t="s">
        <v>479</v>
      </c>
      <c r="G141" s="89" t="s">
        <v>495</v>
      </c>
      <c r="H141" s="89" t="s">
        <v>496</v>
      </c>
      <c r="I141" s="214" t="s">
        <v>497</v>
      </c>
      <c r="J141" s="89">
        <f t="shared" si="4"/>
        <v>0</v>
      </c>
      <c r="K141" s="92"/>
    </row>
    <row r="142" spans="1:11" hidden="1" x14ac:dyDescent="0.2">
      <c r="A142" s="116"/>
      <c r="B142" s="95" t="s">
        <v>256</v>
      </c>
      <c r="C142" s="89" t="s">
        <v>479</v>
      </c>
      <c r="D142" s="89" t="s">
        <v>479</v>
      </c>
      <c r="E142" s="89" t="s">
        <v>498</v>
      </c>
      <c r="F142" s="89" t="s">
        <v>479</v>
      </c>
      <c r="G142" s="89" t="s">
        <v>495</v>
      </c>
      <c r="H142" s="89" t="s">
        <v>496</v>
      </c>
      <c r="I142" s="214" t="s">
        <v>497</v>
      </c>
      <c r="J142" s="89">
        <f t="shared" si="4"/>
        <v>0</v>
      </c>
      <c r="K142" s="92"/>
    </row>
    <row r="143" spans="1:11" hidden="1" x14ac:dyDescent="0.2">
      <c r="A143" s="116"/>
      <c r="B143" s="95" t="s">
        <v>257</v>
      </c>
      <c r="C143" s="89" t="s">
        <v>479</v>
      </c>
      <c r="D143" s="89" t="s">
        <v>479</v>
      </c>
      <c r="E143" s="89" t="s">
        <v>498</v>
      </c>
      <c r="F143" s="89" t="s">
        <v>479</v>
      </c>
      <c r="G143" s="89" t="s">
        <v>495</v>
      </c>
      <c r="H143" s="89" t="s">
        <v>496</v>
      </c>
      <c r="I143" s="214" t="s">
        <v>497</v>
      </c>
      <c r="J143" s="89">
        <f t="shared" si="4"/>
        <v>0</v>
      </c>
      <c r="K143" s="92"/>
    </row>
    <row r="144" spans="1:11" hidden="1" x14ac:dyDescent="0.2">
      <c r="A144" s="116"/>
      <c r="B144" s="95" t="s">
        <v>258</v>
      </c>
      <c r="C144" s="89" t="s">
        <v>479</v>
      </c>
      <c r="D144" s="89" t="s">
        <v>479</v>
      </c>
      <c r="E144" s="89" t="s">
        <v>498</v>
      </c>
      <c r="F144" s="89" t="s">
        <v>479</v>
      </c>
      <c r="G144" s="89" t="s">
        <v>495</v>
      </c>
      <c r="H144" s="89" t="s">
        <v>496</v>
      </c>
      <c r="I144" s="214" t="s">
        <v>497</v>
      </c>
      <c r="J144" s="89">
        <f t="shared" si="4"/>
        <v>0</v>
      </c>
      <c r="K144" s="92"/>
    </row>
    <row r="145" spans="1:11" hidden="1" x14ac:dyDescent="0.2">
      <c r="A145" s="116"/>
      <c r="B145" s="95" t="s">
        <v>259</v>
      </c>
      <c r="C145" s="89" t="s">
        <v>479</v>
      </c>
      <c r="D145" s="89" t="s">
        <v>479</v>
      </c>
      <c r="E145" s="89" t="s">
        <v>498</v>
      </c>
      <c r="F145" s="89" t="s">
        <v>479</v>
      </c>
      <c r="G145" s="89" t="s">
        <v>495</v>
      </c>
      <c r="H145" s="89" t="s">
        <v>496</v>
      </c>
      <c r="I145" s="214" t="s">
        <v>497</v>
      </c>
      <c r="J145" s="89">
        <f t="shared" si="4"/>
        <v>0</v>
      </c>
      <c r="K145" s="92"/>
    </row>
    <row r="146" spans="1:11" x14ac:dyDescent="0.2">
      <c r="A146" s="116"/>
      <c r="B146" s="95" t="s">
        <v>260</v>
      </c>
      <c r="C146" s="89" t="s">
        <v>479</v>
      </c>
      <c r="D146" s="89" t="s">
        <v>479</v>
      </c>
      <c r="E146" s="89">
        <v>525200</v>
      </c>
      <c r="F146" s="89" t="s">
        <v>479</v>
      </c>
      <c r="G146" s="89" t="s">
        <v>495</v>
      </c>
      <c r="H146" s="89">
        <v>609079</v>
      </c>
      <c r="I146" s="214" t="s">
        <v>497</v>
      </c>
      <c r="J146" s="89">
        <f t="shared" si="4"/>
        <v>1134279</v>
      </c>
      <c r="K146" s="92"/>
    </row>
    <row r="147" spans="1:11" ht="15.75" thickBot="1" x14ac:dyDescent="0.3">
      <c r="A147" s="261" t="s">
        <v>456</v>
      </c>
      <c r="B147" s="262"/>
      <c r="C147" s="263">
        <f>SUM(C58:C146)</f>
        <v>6006822</v>
      </c>
      <c r="D147" s="263">
        <f t="shared" ref="D147:H147" si="5">SUM(D58:D146)</f>
        <v>3085387</v>
      </c>
      <c r="E147" s="263">
        <f>SUM(E58:E146)</f>
        <v>7044159</v>
      </c>
      <c r="F147" s="263">
        <f t="shared" si="5"/>
        <v>0</v>
      </c>
      <c r="G147" s="263">
        <f t="shared" si="5"/>
        <v>0</v>
      </c>
      <c r="H147" s="263">
        <f t="shared" si="5"/>
        <v>3029059</v>
      </c>
      <c r="I147" s="264">
        <f>SUM(I58:I146)</f>
        <v>0</v>
      </c>
      <c r="J147" s="265">
        <f t="shared" si="4"/>
        <v>19165427</v>
      </c>
      <c r="K147" s="266"/>
    </row>
    <row r="148" spans="1:11" ht="18.75" customHeight="1" thickBot="1" x14ac:dyDescent="0.3">
      <c r="A148" s="245" t="s">
        <v>457</v>
      </c>
      <c r="B148" s="246"/>
      <c r="C148" s="247">
        <f>C57+C147</f>
        <v>20571745</v>
      </c>
      <c r="D148" s="247">
        <f t="shared" ref="D148:I148" si="6">D57+D147</f>
        <v>10691916</v>
      </c>
      <c r="E148" s="247">
        <f>E57+E147</f>
        <v>13870863</v>
      </c>
      <c r="F148" s="247">
        <f t="shared" si="6"/>
        <v>3575000</v>
      </c>
      <c r="G148" s="247">
        <f t="shared" si="6"/>
        <v>775000</v>
      </c>
      <c r="H148" s="247">
        <f t="shared" si="6"/>
        <v>7359429</v>
      </c>
      <c r="I148" s="247">
        <f t="shared" si="6"/>
        <v>0</v>
      </c>
      <c r="J148" s="236">
        <f t="shared" si="4"/>
        <v>56843953</v>
      </c>
    </row>
    <row r="149" spans="1:11" ht="19.5" customHeight="1" x14ac:dyDescent="0.25">
      <c r="A149" s="267" t="s">
        <v>108</v>
      </c>
      <c r="B149" s="268" t="s">
        <v>458</v>
      </c>
      <c r="C149" s="269">
        <v>0</v>
      </c>
      <c r="D149" s="269">
        <v>0</v>
      </c>
      <c r="E149" s="269">
        <v>0</v>
      </c>
      <c r="F149" s="269">
        <v>-3575000</v>
      </c>
      <c r="G149" s="269">
        <v>0</v>
      </c>
      <c r="H149" s="269">
        <v>0</v>
      </c>
      <c r="I149" s="270">
        <v>0</v>
      </c>
      <c r="J149" s="144">
        <f t="shared" si="4"/>
        <v>-3575000</v>
      </c>
    </row>
    <row r="150" spans="1:11" ht="21.75" customHeight="1" thickBot="1" x14ac:dyDescent="0.3">
      <c r="A150" s="271" t="s">
        <v>459</v>
      </c>
      <c r="B150" s="103"/>
      <c r="C150" s="272">
        <f>C148+C149</f>
        <v>20571745</v>
      </c>
      <c r="D150" s="272">
        <f t="shared" ref="D150:I150" si="7">D148+D149</f>
        <v>10691916</v>
      </c>
      <c r="E150" s="272">
        <f t="shared" si="7"/>
        <v>13870863</v>
      </c>
      <c r="F150" s="272">
        <f t="shared" si="7"/>
        <v>0</v>
      </c>
      <c r="G150" s="272">
        <f t="shared" si="7"/>
        <v>775000</v>
      </c>
      <c r="H150" s="272">
        <f t="shared" si="7"/>
        <v>7359429</v>
      </c>
      <c r="I150" s="272">
        <f t="shared" si="7"/>
        <v>0</v>
      </c>
      <c r="J150" s="272">
        <f t="shared" si="4"/>
        <v>53268953</v>
      </c>
    </row>
    <row r="151" spans="1:11" ht="15" thickTop="1" x14ac:dyDescent="0.2">
      <c r="A151" s="273"/>
      <c r="B151" s="190"/>
      <c r="C151" s="274"/>
      <c r="D151" s="274"/>
      <c r="E151" s="274"/>
      <c r="F151" s="274"/>
      <c r="G151" s="274"/>
      <c r="H151" s="274"/>
      <c r="I151" s="274"/>
      <c r="J151" s="274"/>
    </row>
  </sheetData>
  <pageMargins left="0.5" right="0" top="0.5" bottom="0.25" header="0.5" footer="0"/>
  <pageSetup scale="75" fitToHeight="3" orientation="landscape" r:id="rId1"/>
  <headerFooter alignWithMargins="0">
    <oddFooter>&amp;C&amp;8FORM 4405LGF
Last Revised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3B214-FDF4-4B3F-9440-8B688C92BC50}">
  <sheetPr>
    <tabColor rgb="FF00B050"/>
  </sheetPr>
  <dimension ref="A1:G47"/>
  <sheetViews>
    <sheetView showGridLines="0" topLeftCell="A22" zoomScaleNormal="100" workbookViewId="0">
      <selection activeCell="M28" sqref="M28"/>
    </sheetView>
  </sheetViews>
  <sheetFormatPr defaultColWidth="9.140625" defaultRowHeight="15.75" x14ac:dyDescent="0.25"/>
  <cols>
    <col min="1" max="1" width="3" style="318" customWidth="1"/>
    <col min="2" max="2" width="24.7109375" style="319" customWidth="1"/>
    <col min="3" max="3" width="11.42578125" style="320" customWidth="1"/>
    <col min="4" max="16384" width="9.140625" style="319"/>
  </cols>
  <sheetData>
    <row r="1" spans="1:7" x14ac:dyDescent="0.25">
      <c r="A1" s="318" t="s">
        <v>499</v>
      </c>
    </row>
    <row r="2" spans="1:7" x14ac:dyDescent="0.25">
      <c r="A2" s="318">
        <v>1</v>
      </c>
      <c r="B2" s="319" t="s">
        <v>500</v>
      </c>
    </row>
    <row r="3" spans="1:7" ht="15.6" customHeight="1" x14ac:dyDescent="0.25">
      <c r="B3" s="321" t="s">
        <v>501</v>
      </c>
      <c r="C3" s="322"/>
      <c r="D3" s="322"/>
      <c r="E3" s="322"/>
      <c r="F3" s="322"/>
      <c r="G3" s="322"/>
    </row>
    <row r="4" spans="1:7" x14ac:dyDescent="0.25">
      <c r="B4" s="321" t="s">
        <v>502</v>
      </c>
      <c r="C4" s="322"/>
      <c r="D4" s="322"/>
      <c r="E4" s="322"/>
      <c r="F4" s="322"/>
      <c r="G4" s="322"/>
    </row>
    <row r="5" spans="1:7" x14ac:dyDescent="0.25">
      <c r="B5" s="323"/>
      <c r="C5" s="324"/>
      <c r="D5" s="324"/>
      <c r="E5" s="324"/>
      <c r="F5" s="324"/>
      <c r="G5" s="324"/>
    </row>
    <row r="6" spans="1:7" ht="15.6" customHeight="1" x14ac:dyDescent="0.25">
      <c r="A6" s="318">
        <v>2</v>
      </c>
      <c r="B6" s="321" t="s">
        <v>503</v>
      </c>
      <c r="C6" s="322"/>
      <c r="D6" s="322"/>
      <c r="E6" s="322"/>
      <c r="F6" s="322"/>
      <c r="G6" s="322"/>
    </row>
    <row r="7" spans="1:7" x14ac:dyDescent="0.25">
      <c r="B7" s="321" t="s">
        <v>504</v>
      </c>
      <c r="C7" s="322"/>
      <c r="D7" s="322"/>
      <c r="E7" s="322"/>
      <c r="F7" s="322"/>
      <c r="G7" s="322"/>
    </row>
    <row r="9" spans="1:7" ht="15.6" customHeight="1" x14ac:dyDescent="0.25">
      <c r="A9" s="318">
        <v>3</v>
      </c>
      <c r="B9" s="321" t="s">
        <v>505</v>
      </c>
      <c r="C9" s="322"/>
      <c r="D9" s="322"/>
      <c r="E9" s="322"/>
      <c r="F9" s="322"/>
      <c r="G9" s="322"/>
    </row>
    <row r="10" spans="1:7" x14ac:dyDescent="0.25">
      <c r="B10" s="321" t="s">
        <v>506</v>
      </c>
      <c r="C10" s="322"/>
      <c r="D10" s="322"/>
      <c r="E10" s="322"/>
      <c r="F10" s="322"/>
      <c r="G10" s="322"/>
    </row>
    <row r="11" spans="1:7" x14ac:dyDescent="0.25">
      <c r="B11" s="322"/>
      <c r="C11" s="322"/>
      <c r="D11" s="322"/>
      <c r="E11" s="322"/>
      <c r="F11" s="322"/>
      <c r="G11" s="322"/>
    </row>
    <row r="12" spans="1:7" ht="15.6" customHeight="1" x14ac:dyDescent="0.25">
      <c r="A12" s="318">
        <v>4</v>
      </c>
      <c r="B12" s="321" t="s">
        <v>507</v>
      </c>
      <c r="C12" s="322"/>
      <c r="D12" s="322"/>
      <c r="E12" s="322"/>
      <c r="F12" s="322"/>
      <c r="G12" s="322"/>
    </row>
    <row r="13" spans="1:7" x14ac:dyDescent="0.25">
      <c r="B13" s="321" t="s">
        <v>508</v>
      </c>
      <c r="C13" s="322"/>
      <c r="D13" s="322"/>
      <c r="E13" s="322"/>
      <c r="F13" s="322"/>
      <c r="G13" s="322"/>
    </row>
    <row r="14" spans="1:7" x14ac:dyDescent="0.25">
      <c r="B14" s="322"/>
      <c r="C14" s="322"/>
      <c r="D14" s="322"/>
      <c r="E14" s="322"/>
      <c r="F14" s="322"/>
      <c r="G14" s="322"/>
    </row>
    <row r="15" spans="1:7" ht="15.6" customHeight="1" x14ac:dyDescent="0.25">
      <c r="A15" s="318">
        <v>5</v>
      </c>
      <c r="B15" s="321" t="s">
        <v>509</v>
      </c>
      <c r="C15" s="322"/>
      <c r="D15" s="322"/>
      <c r="E15" s="322"/>
      <c r="F15" s="322"/>
      <c r="G15" s="322"/>
    </row>
    <row r="16" spans="1:7" x14ac:dyDescent="0.25">
      <c r="B16" s="321" t="s">
        <v>510</v>
      </c>
      <c r="C16" s="322"/>
      <c r="D16" s="322"/>
      <c r="E16" s="322"/>
      <c r="F16" s="322"/>
      <c r="G16" s="322"/>
    </row>
    <row r="17" spans="1:7" x14ac:dyDescent="0.25">
      <c r="B17" s="322"/>
      <c r="C17" s="322"/>
      <c r="D17" s="322"/>
      <c r="E17" s="322"/>
      <c r="F17" s="322"/>
      <c r="G17" s="322"/>
    </row>
    <row r="18" spans="1:7" ht="15.6" customHeight="1" x14ac:dyDescent="0.25">
      <c r="A18" s="318">
        <v>6</v>
      </c>
      <c r="B18" s="321" t="s">
        <v>511</v>
      </c>
      <c r="C18" s="322"/>
      <c r="D18" s="322"/>
      <c r="E18" s="322"/>
      <c r="F18" s="322"/>
      <c r="G18" s="322"/>
    </row>
    <row r="19" spans="1:7" x14ac:dyDescent="0.25">
      <c r="B19" s="321" t="s">
        <v>512</v>
      </c>
      <c r="C19" s="322"/>
      <c r="D19" s="322"/>
      <c r="E19" s="322"/>
      <c r="F19" s="322"/>
      <c r="G19" s="322"/>
    </row>
    <row r="20" spans="1:7" x14ac:dyDescent="0.25">
      <c r="A20" s="318" t="s">
        <v>513</v>
      </c>
    </row>
    <row r="21" spans="1:7" x14ac:dyDescent="0.25">
      <c r="A21" s="318">
        <v>1</v>
      </c>
      <c r="B21" s="318" t="s">
        <v>514</v>
      </c>
    </row>
    <row r="22" spans="1:7" x14ac:dyDescent="0.25">
      <c r="B22" s="325" t="s">
        <v>515</v>
      </c>
      <c r="C22" s="326" t="s">
        <v>516</v>
      </c>
      <c r="D22" s="325" t="s">
        <v>517</v>
      </c>
      <c r="E22" s="325"/>
      <c r="F22" s="325"/>
    </row>
    <row r="23" spans="1:7" x14ac:dyDescent="0.25">
      <c r="B23" s="319" t="s">
        <v>518</v>
      </c>
      <c r="C23" s="320">
        <v>24239</v>
      </c>
      <c r="D23" s="319" t="s">
        <v>519</v>
      </c>
    </row>
    <row r="24" spans="1:7" x14ac:dyDescent="0.25">
      <c r="B24" s="319" t="s">
        <v>520</v>
      </c>
      <c r="C24" s="320">
        <v>134800</v>
      </c>
      <c r="D24" s="319" t="s">
        <v>521</v>
      </c>
    </row>
    <row r="25" spans="1:7" ht="16.5" thickBot="1" x14ac:dyDescent="0.3">
      <c r="C25" s="327">
        <f>SUM(C23:C24)</f>
        <v>159039</v>
      </c>
    </row>
    <row r="26" spans="1:7" ht="16.5" thickTop="1" x14ac:dyDescent="0.25"/>
    <row r="27" spans="1:7" x14ac:dyDescent="0.25">
      <c r="A27" s="318">
        <v>2</v>
      </c>
      <c r="B27" s="318" t="s">
        <v>522</v>
      </c>
    </row>
    <row r="28" spans="1:7" x14ac:dyDescent="0.25">
      <c r="B28" s="325" t="s">
        <v>515</v>
      </c>
      <c r="C28" s="326" t="s">
        <v>516</v>
      </c>
      <c r="D28" s="325" t="s">
        <v>517</v>
      </c>
      <c r="E28" s="325"/>
      <c r="F28" s="325"/>
    </row>
    <row r="29" spans="1:7" x14ac:dyDescent="0.25">
      <c r="B29" s="319" t="s">
        <v>523</v>
      </c>
      <c r="C29" s="320">
        <v>143133</v>
      </c>
      <c r="D29" s="319" t="s">
        <v>524</v>
      </c>
    </row>
    <row r="30" spans="1:7" x14ac:dyDescent="0.25">
      <c r="B30" s="319" t="s">
        <v>525</v>
      </c>
      <c r="C30" s="320">
        <v>115236</v>
      </c>
      <c r="D30" s="319" t="s">
        <v>526</v>
      </c>
    </row>
    <row r="31" spans="1:7" x14ac:dyDescent="0.25">
      <c r="B31" s="319" t="s">
        <v>527</v>
      </c>
      <c r="C31" s="320">
        <f>8590+60000</f>
        <v>68590</v>
      </c>
      <c r="D31" s="319" t="s">
        <v>528</v>
      </c>
    </row>
    <row r="32" spans="1:7" ht="16.5" thickBot="1" x14ac:dyDescent="0.3">
      <c r="C32" s="327">
        <f>SUM(C29:C31)</f>
        <v>326959</v>
      </c>
    </row>
    <row r="33" spans="1:6" ht="16.5" thickTop="1" x14ac:dyDescent="0.25"/>
    <row r="34" spans="1:6" x14ac:dyDescent="0.25">
      <c r="A34" s="318">
        <v>3</v>
      </c>
      <c r="B34" s="318" t="s">
        <v>529</v>
      </c>
    </row>
    <row r="35" spans="1:6" x14ac:dyDescent="0.25">
      <c r="B35" s="325" t="s">
        <v>515</v>
      </c>
      <c r="C35" s="326" t="s">
        <v>516</v>
      </c>
      <c r="D35" s="325" t="s">
        <v>517</v>
      </c>
      <c r="E35" s="325"/>
      <c r="F35" s="325"/>
    </row>
    <row r="36" spans="1:6" x14ac:dyDescent="0.25">
      <c r="B36" s="319" t="s">
        <v>530</v>
      </c>
      <c r="C36" s="320">
        <v>5821</v>
      </c>
      <c r="D36" s="319" t="s">
        <v>531</v>
      </c>
    </row>
    <row r="37" spans="1:6" x14ac:dyDescent="0.25">
      <c r="B37" s="319" t="s">
        <v>532</v>
      </c>
      <c r="C37" s="320">
        <v>212</v>
      </c>
      <c r="D37" s="319" t="s">
        <v>533</v>
      </c>
    </row>
    <row r="38" spans="1:6" x14ac:dyDescent="0.25">
      <c r="B38" s="319" t="s">
        <v>534</v>
      </c>
      <c r="C38" s="320">
        <v>250</v>
      </c>
      <c r="D38" s="319" t="s">
        <v>535</v>
      </c>
    </row>
    <row r="39" spans="1:6" ht="16.5" thickBot="1" x14ac:dyDescent="0.3">
      <c r="C39" s="327">
        <f>SUM(C36:C38)</f>
        <v>6283</v>
      </c>
    </row>
    <row r="40" spans="1:6" ht="16.5" thickTop="1" x14ac:dyDescent="0.25"/>
    <row r="41" spans="1:6" x14ac:dyDescent="0.25">
      <c r="A41" s="318">
        <v>4</v>
      </c>
      <c r="B41" s="318" t="s">
        <v>536</v>
      </c>
    </row>
    <row r="42" spans="1:6" x14ac:dyDescent="0.25">
      <c r="B42" s="325" t="s">
        <v>515</v>
      </c>
      <c r="C42" s="326" t="s">
        <v>516</v>
      </c>
      <c r="D42" s="325" t="s">
        <v>517</v>
      </c>
      <c r="E42" s="325"/>
      <c r="F42" s="325"/>
    </row>
    <row r="43" spans="1:6" x14ac:dyDescent="0.25">
      <c r="B43" s="319" t="s">
        <v>537</v>
      </c>
      <c r="C43" s="320">
        <v>7208</v>
      </c>
      <c r="D43" s="319" t="s">
        <v>538</v>
      </c>
    </row>
    <row r="44" spans="1:6" x14ac:dyDescent="0.25">
      <c r="B44" s="319" t="s">
        <v>539</v>
      </c>
      <c r="C44" s="320">
        <v>2792</v>
      </c>
      <c r="D44" s="319" t="s">
        <v>540</v>
      </c>
    </row>
    <row r="45" spans="1:6" x14ac:dyDescent="0.25">
      <c r="B45" s="319" t="s">
        <v>541</v>
      </c>
      <c r="C45" s="320">
        <v>2000</v>
      </c>
      <c r="D45" s="319" t="s">
        <v>542</v>
      </c>
    </row>
    <row r="46" spans="1:6" ht="16.5" thickBot="1" x14ac:dyDescent="0.3">
      <c r="C46" s="327">
        <f>SUM(C43:C45)</f>
        <v>12000</v>
      </c>
    </row>
    <row r="47" spans="1:6" ht="16.5" thickTop="1" x14ac:dyDescent="0.25"/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3350-65AB-42D7-9E06-D7C3B1C3CDFC}">
  <dimension ref="A2:I17"/>
  <sheetViews>
    <sheetView showGridLines="0" zoomScaleNormal="100" workbookViewId="0">
      <selection activeCell="F36" sqref="F36"/>
    </sheetView>
  </sheetViews>
  <sheetFormatPr defaultRowHeight="12.75" x14ac:dyDescent="0.2"/>
  <cols>
    <col min="1" max="1" width="5.140625" customWidth="1"/>
    <col min="2" max="2" width="5.28515625" customWidth="1"/>
  </cols>
  <sheetData>
    <row r="2" spans="1:9" ht="18" x14ac:dyDescent="0.25">
      <c r="A2" s="6" t="s">
        <v>543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8" spans="1:9" x14ac:dyDescent="0.2">
      <c r="B8" s="3"/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E1786-36E5-4112-A60B-D04DB6960515}">
  <dimension ref="A1:H160"/>
  <sheetViews>
    <sheetView showGridLines="0" zoomScale="85" zoomScaleNormal="85" workbookViewId="0">
      <selection activeCell="G168" sqref="G168"/>
    </sheetView>
  </sheetViews>
  <sheetFormatPr defaultRowHeight="12.75" x14ac:dyDescent="0.2"/>
  <cols>
    <col min="1" max="1" width="5.140625" style="2" bestFit="1" customWidth="1"/>
    <col min="2" max="2" width="41.140625" bestFit="1" customWidth="1"/>
    <col min="3" max="4" width="18.7109375" style="12" bestFit="1" customWidth="1"/>
    <col min="5" max="5" width="18.7109375" bestFit="1" customWidth="1"/>
    <col min="6" max="6" width="18.7109375" customWidth="1"/>
    <col min="7" max="7" width="18.140625" bestFit="1" customWidth="1"/>
    <col min="8" max="8" width="16.5703125" bestFit="1" customWidth="1"/>
  </cols>
  <sheetData>
    <row r="1" spans="1:6" s="8" customFormat="1" ht="18" x14ac:dyDescent="0.25">
      <c r="A1" s="6"/>
      <c r="B1" s="34" t="s">
        <v>261</v>
      </c>
      <c r="C1" s="35" t="s">
        <v>544</v>
      </c>
      <c r="D1" s="35" t="s">
        <v>119</v>
      </c>
    </row>
    <row r="3" spans="1:6" s="15" customFormat="1" ht="38.25" x14ac:dyDescent="0.2">
      <c r="A3" s="13"/>
      <c r="B3" s="13" t="s">
        <v>120</v>
      </c>
      <c r="C3" s="14" t="s">
        <v>545</v>
      </c>
      <c r="D3" s="14" t="s">
        <v>546</v>
      </c>
      <c r="E3" s="14" t="s">
        <v>547</v>
      </c>
      <c r="F3" s="14"/>
    </row>
    <row r="4" spans="1:6" x14ac:dyDescent="0.2">
      <c r="B4" s="3"/>
    </row>
    <row r="5" spans="1:6" x14ac:dyDescent="0.2">
      <c r="B5" s="16" t="s">
        <v>124</v>
      </c>
      <c r="C5" s="43">
        <f>'19_20 District Budget-3'!N27</f>
        <v>2454284670</v>
      </c>
      <c r="D5" s="43">
        <f>SUM('PCFP - All Revenue AA-1 R-3'!F33:H33)</f>
        <v>2446358370</v>
      </c>
      <c r="E5" s="44">
        <f>D5-C5</f>
        <v>-7926300</v>
      </c>
      <c r="F5" s="17"/>
    </row>
    <row r="6" spans="1:6" x14ac:dyDescent="0.2">
      <c r="C6" s="43"/>
      <c r="D6" s="43"/>
      <c r="E6" s="44"/>
      <c r="F6" s="17"/>
    </row>
    <row r="7" spans="1:6" x14ac:dyDescent="0.2">
      <c r="B7" s="16" t="s">
        <v>125</v>
      </c>
      <c r="C7" s="43">
        <f>'19_20 District Budget-3'!N40</f>
        <v>1079351450</v>
      </c>
      <c r="D7" s="43">
        <f>SUM('PCFP - All Revenue AA-1 R-3'!F49:H49)</f>
        <v>1079351450</v>
      </c>
      <c r="E7" s="44">
        <f>D7-C7</f>
        <v>0</v>
      </c>
      <c r="F7" s="17"/>
    </row>
    <row r="8" spans="1:6" x14ac:dyDescent="0.2">
      <c r="C8" s="43"/>
      <c r="D8" s="43"/>
      <c r="E8" s="44"/>
      <c r="F8" s="17"/>
    </row>
    <row r="9" spans="1:6" x14ac:dyDescent="0.2">
      <c r="B9" s="16" t="s">
        <v>126</v>
      </c>
      <c r="C9" s="43">
        <f>'19_20 District Budget-3'!N50</f>
        <v>352177910</v>
      </c>
      <c r="D9" s="43">
        <f>SUM('PCFP - All Revenue AA-1 R-3'!F59:H59)</f>
        <v>352177910</v>
      </c>
      <c r="E9" s="44">
        <f>D9-C9</f>
        <v>0</v>
      </c>
      <c r="F9" s="17"/>
    </row>
    <row r="10" spans="1:6" x14ac:dyDescent="0.2">
      <c r="C10" s="43"/>
      <c r="D10" s="43"/>
      <c r="E10" s="44"/>
      <c r="F10" s="17"/>
    </row>
    <row r="11" spans="1:6" x14ac:dyDescent="0.2">
      <c r="B11" s="16" t="s">
        <v>127</v>
      </c>
      <c r="C11" s="43">
        <f>'19_20 District Budget-3'!N57</f>
        <v>467430119</v>
      </c>
      <c r="D11" s="43">
        <f>SUM('PCFP - All Revenue AA-1 R-3'!F69:H69)</f>
        <v>1039946825</v>
      </c>
      <c r="E11" s="44">
        <f>D11-C11</f>
        <v>572516706</v>
      </c>
      <c r="F11" s="17"/>
    </row>
    <row r="12" spans="1:6" x14ac:dyDescent="0.2">
      <c r="C12" s="43"/>
      <c r="D12" s="43"/>
      <c r="E12" s="44"/>
      <c r="F12" s="17"/>
    </row>
    <row r="13" spans="1:6" s="2" customFormat="1" x14ac:dyDescent="0.2">
      <c r="B13" s="18" t="s">
        <v>128</v>
      </c>
      <c r="C13" s="40">
        <f t="shared" ref="C13:D13" si="0">SUM(C5:C12)</f>
        <v>4353244149</v>
      </c>
      <c r="D13" s="40">
        <f t="shared" si="0"/>
        <v>4917834555</v>
      </c>
      <c r="E13" s="41">
        <f>D13-C13</f>
        <v>564590406</v>
      </c>
      <c r="F13" s="20"/>
    </row>
    <row r="14" spans="1:6" x14ac:dyDescent="0.2">
      <c r="C14" s="43"/>
      <c r="D14" s="43"/>
      <c r="E14" s="44"/>
    </row>
    <row r="15" spans="1:6" x14ac:dyDescent="0.2">
      <c r="B15" s="16" t="s">
        <v>129</v>
      </c>
      <c r="C15" s="43">
        <f>'19_20 District Budget-3'!N66</f>
        <v>1196394496</v>
      </c>
      <c r="D15" s="43">
        <f>SUM('PCFP - All Revenue AA-1 R-3'!E73:G73)</f>
        <v>1196394495.8900001</v>
      </c>
      <c r="E15" s="328">
        <f>D15-C15</f>
        <v>-0.1099998950958252</v>
      </c>
      <c r="F15" s="21"/>
    </row>
    <row r="16" spans="1:6" x14ac:dyDescent="0.2">
      <c r="C16" s="43"/>
      <c r="D16" s="43"/>
      <c r="E16" s="44"/>
    </row>
    <row r="17" spans="1:8" x14ac:dyDescent="0.2">
      <c r="A17" s="22"/>
      <c r="B17" s="23" t="s">
        <v>306</v>
      </c>
      <c r="C17" s="47">
        <f t="shared" ref="C17:D17" si="1">SUM(C13:C15)</f>
        <v>5549638645</v>
      </c>
      <c r="D17" s="47">
        <f t="shared" si="1"/>
        <v>6114229050.8900003</v>
      </c>
      <c r="E17" s="48">
        <f>D17-C17</f>
        <v>564590405.89000034</v>
      </c>
      <c r="F17" s="20"/>
      <c r="G17" s="26"/>
      <c r="H17" s="17"/>
    </row>
    <row r="18" spans="1:8" s="2" customFormat="1" x14ac:dyDescent="0.2">
      <c r="A18" s="27"/>
      <c r="B18" s="28" t="s">
        <v>131</v>
      </c>
      <c r="C18" s="50">
        <f>SUM(C21,C39,C68,C70)</f>
        <v>5549638645</v>
      </c>
      <c r="D18" s="50">
        <f>SUM(D21,D39,D68,D70)</f>
        <v>5549638644.71</v>
      </c>
      <c r="E18" s="329">
        <f>D18-C18</f>
        <v>-0.28999996185302734</v>
      </c>
      <c r="F18" s="20"/>
    </row>
    <row r="19" spans="1:8" x14ac:dyDescent="0.2">
      <c r="A19" s="30"/>
      <c r="B19" s="286" t="s">
        <v>132</v>
      </c>
      <c r="C19" s="911">
        <f t="shared" ref="C19" si="2">C17-C18</f>
        <v>0</v>
      </c>
      <c r="D19" s="911">
        <f>D17-D18</f>
        <v>564590406.18000031</v>
      </c>
      <c r="E19" s="51">
        <f>D19-C19</f>
        <v>564590406.18000031</v>
      </c>
      <c r="F19" s="17"/>
    </row>
    <row r="20" spans="1:8" x14ac:dyDescent="0.2">
      <c r="C20" s="330"/>
      <c r="D20" s="330"/>
      <c r="E20" s="331"/>
    </row>
    <row r="21" spans="1:8" x14ac:dyDescent="0.2">
      <c r="B21" s="2" t="s">
        <v>307</v>
      </c>
      <c r="C21" s="12">
        <f>SUM(C22:C37)</f>
        <v>2240096389</v>
      </c>
      <c r="D21" s="12">
        <f>SUM(D22:D37)</f>
        <v>1765682392.4300001</v>
      </c>
      <c r="E21" s="331"/>
    </row>
    <row r="22" spans="1:8" hidden="1" x14ac:dyDescent="0.2">
      <c r="A22" s="2">
        <v>100</v>
      </c>
      <c r="B22" t="s">
        <v>134</v>
      </c>
      <c r="C22" s="43">
        <f>'19_20 District Budget-3'!N73</f>
        <v>1519384124</v>
      </c>
      <c r="D22" s="43">
        <f>'PCFP-All Expense AA-1 Modif-3'!J3</f>
        <v>1196756413.9200001</v>
      </c>
      <c r="E22" s="43"/>
      <c r="F22" s="12"/>
    </row>
    <row r="23" spans="1:8" hidden="1" x14ac:dyDescent="0.2">
      <c r="A23" s="2">
        <v>200</v>
      </c>
      <c r="B23" t="s">
        <v>135</v>
      </c>
      <c r="C23" s="43">
        <f>'19_20 District Budget-3'!N74</f>
        <v>485466314</v>
      </c>
      <c r="D23" s="43">
        <f>'PCFP-All Expense AA-1 Modif-3'!J4</f>
        <v>3041241</v>
      </c>
      <c r="E23" s="43"/>
      <c r="F23" s="12"/>
    </row>
    <row r="24" spans="1:8" hidden="1" x14ac:dyDescent="0.2">
      <c r="A24" s="2" t="s">
        <v>10</v>
      </c>
      <c r="B24" t="s">
        <v>136</v>
      </c>
      <c r="C24" s="43">
        <f>'19_20 District Budget-3'!N75</f>
        <v>0</v>
      </c>
      <c r="D24" s="43">
        <f>'PCFP-All Expense AA-1 Modif-3'!J5</f>
        <v>496316566.19</v>
      </c>
      <c r="E24" s="43"/>
      <c r="F24" s="12"/>
    </row>
    <row r="25" spans="1:8" hidden="1" x14ac:dyDescent="0.2">
      <c r="A25" s="2">
        <v>270</v>
      </c>
      <c r="B25" t="s">
        <v>137</v>
      </c>
      <c r="C25" s="43">
        <f>'19_20 District Budget-3'!N76</f>
        <v>14679818</v>
      </c>
      <c r="D25" s="43">
        <f>'PCFP-All Expense AA-1 Modif-3'!J6</f>
        <v>0</v>
      </c>
      <c r="E25" s="43"/>
      <c r="F25" s="12"/>
    </row>
    <row r="26" spans="1:8" hidden="1" x14ac:dyDescent="0.2">
      <c r="A26" s="2" t="s">
        <v>10</v>
      </c>
      <c r="B26" t="s">
        <v>138</v>
      </c>
      <c r="C26" s="43">
        <f>'19_20 District Budget-3'!N77</f>
        <v>0</v>
      </c>
      <c r="D26" s="43">
        <f>'PCFP-All Expense AA-1 Modif-3'!J7</f>
        <v>9343838</v>
      </c>
      <c r="E26" s="43"/>
      <c r="F26" s="12"/>
    </row>
    <row r="27" spans="1:8" hidden="1" x14ac:dyDescent="0.2">
      <c r="A27" s="2">
        <v>300</v>
      </c>
      <c r="B27" t="s">
        <v>139</v>
      </c>
      <c r="C27" s="43">
        <f>'19_20 District Budget-3'!N78</f>
        <v>22049288</v>
      </c>
      <c r="D27" s="43">
        <f>'PCFP-All Expense AA-1 Modif-3'!J8</f>
        <v>7139938.3200000003</v>
      </c>
      <c r="E27" s="43"/>
      <c r="F27" s="12"/>
    </row>
    <row r="28" spans="1:8" hidden="1" x14ac:dyDescent="0.2">
      <c r="A28" s="2">
        <v>400</v>
      </c>
      <c r="B28" t="s">
        <v>140</v>
      </c>
      <c r="C28" s="43">
        <f>'19_20 District Budget-3'!N79</f>
        <v>0</v>
      </c>
      <c r="D28" s="43">
        <f>'PCFP-All Expense AA-1 Modif-3'!J9</f>
        <v>24732760</v>
      </c>
      <c r="E28" s="43"/>
      <c r="F28" s="12"/>
    </row>
    <row r="29" spans="1:8" hidden="1" x14ac:dyDescent="0.2">
      <c r="A29" s="2" t="s">
        <v>10</v>
      </c>
      <c r="B29" t="s">
        <v>141</v>
      </c>
      <c r="C29" s="43">
        <f>'19_20 District Budget-3'!N80</f>
        <v>53315617</v>
      </c>
      <c r="D29" s="43">
        <f>'PCFP-All Expense AA-1 Modif-3'!J10</f>
        <v>8389347</v>
      </c>
      <c r="E29" s="43"/>
      <c r="F29" s="12"/>
    </row>
    <row r="30" spans="1:8" hidden="1" x14ac:dyDescent="0.2">
      <c r="A30" s="2" t="s">
        <v>10</v>
      </c>
      <c r="B30" t="s">
        <v>142</v>
      </c>
      <c r="C30" s="43">
        <f>'19_20 District Budget-3'!N81</f>
        <v>0</v>
      </c>
      <c r="D30" s="43">
        <f>'PCFP-All Expense AA-1 Modif-3'!J11</f>
        <v>0</v>
      </c>
      <c r="E30" s="43"/>
      <c r="F30" s="12"/>
    </row>
    <row r="31" spans="1:8" hidden="1" x14ac:dyDescent="0.2">
      <c r="A31" s="2">
        <v>430</v>
      </c>
      <c r="B31" t="s">
        <v>548</v>
      </c>
      <c r="C31" s="43">
        <f>'19_20 District Budget-3'!N82</f>
        <v>24735040</v>
      </c>
      <c r="D31" s="43"/>
      <c r="E31" s="43"/>
      <c r="F31" s="12"/>
    </row>
    <row r="32" spans="1:8" hidden="1" x14ac:dyDescent="0.2">
      <c r="A32" s="2">
        <v>440</v>
      </c>
      <c r="B32" t="s">
        <v>143</v>
      </c>
      <c r="C32" s="43">
        <f>'19_20 District Budget-3'!N83</f>
        <v>1929689</v>
      </c>
      <c r="D32" s="43">
        <f>'PCFP-All Expense AA-1 Modif-3'!J12</f>
        <v>1929689</v>
      </c>
      <c r="E32" s="43"/>
      <c r="F32" s="12"/>
    </row>
    <row r="33" spans="1:7" hidden="1" x14ac:dyDescent="0.2">
      <c r="A33" s="2">
        <v>500</v>
      </c>
      <c r="B33" t="s">
        <v>144</v>
      </c>
      <c r="C33" s="43">
        <f>'19_20 District Budget-3'!N84</f>
        <v>0</v>
      </c>
      <c r="D33" s="43">
        <f>'PCFP-All Expense AA-1 Modif-3'!J13</f>
        <v>0</v>
      </c>
      <c r="E33" s="43"/>
      <c r="F33" s="12"/>
    </row>
    <row r="34" spans="1:7" hidden="1" x14ac:dyDescent="0.2">
      <c r="A34" s="2">
        <v>600</v>
      </c>
      <c r="B34" t="s">
        <v>145</v>
      </c>
      <c r="C34" s="43">
        <f>'19_20 District Budget-3'!N85</f>
        <v>13464596</v>
      </c>
      <c r="D34" s="43">
        <f>'PCFP-All Expense AA-1 Modif-3'!J14</f>
        <v>238886</v>
      </c>
      <c r="E34" s="43"/>
      <c r="F34" s="12"/>
    </row>
    <row r="35" spans="1:7" hidden="1" x14ac:dyDescent="0.2">
      <c r="A35" s="2">
        <v>800</v>
      </c>
      <c r="B35" t="s">
        <v>146</v>
      </c>
      <c r="C35" s="43">
        <f>'19_20 District Budget-3'!N86</f>
        <v>5278190</v>
      </c>
      <c r="D35" s="43">
        <f>'PCFP-All Expense AA-1 Modif-3'!J15</f>
        <v>0</v>
      </c>
      <c r="E35" s="43"/>
      <c r="F35" s="12"/>
    </row>
    <row r="36" spans="1:7" hidden="1" x14ac:dyDescent="0.2">
      <c r="A36" s="2">
        <v>910</v>
      </c>
      <c r="B36" t="s">
        <v>147</v>
      </c>
      <c r="C36" s="43">
        <f>'19_20 District Budget-3'!N87</f>
        <v>92334903</v>
      </c>
      <c r="D36" s="43">
        <f>'PCFP-All Expense AA-1 Modif-3'!J16</f>
        <v>10334903</v>
      </c>
      <c r="E36" s="43"/>
      <c r="F36" s="12"/>
    </row>
    <row r="37" spans="1:7" hidden="1" x14ac:dyDescent="0.2">
      <c r="A37" s="2">
        <v>920</v>
      </c>
      <c r="B37" t="s">
        <v>148</v>
      </c>
      <c r="C37" s="43">
        <f>'19_20 District Budget-3'!N88</f>
        <v>7458810</v>
      </c>
      <c r="D37" s="43">
        <f>'PCFP-All Expense AA-1 Modif-3'!J17</f>
        <v>7458810</v>
      </c>
      <c r="E37" s="43"/>
      <c r="F37" s="12"/>
      <c r="G37" s="17"/>
    </row>
    <row r="38" spans="1:7" x14ac:dyDescent="0.2">
      <c r="C38" s="43"/>
      <c r="D38" s="43"/>
      <c r="E38" s="43"/>
      <c r="F38" s="12"/>
    </row>
    <row r="39" spans="1:7" x14ac:dyDescent="0.2">
      <c r="A39" s="2" t="s">
        <v>149</v>
      </c>
      <c r="B39" s="2" t="s">
        <v>150</v>
      </c>
      <c r="C39" s="43">
        <f>SUM(C40:C66)</f>
        <v>3699232214</v>
      </c>
      <c r="D39" s="43">
        <f>SUM(D40:D66)</f>
        <v>1245137436.28</v>
      </c>
      <c r="E39" s="43"/>
      <c r="F39" s="12"/>
    </row>
    <row r="40" spans="1:7" hidden="1" x14ac:dyDescent="0.2">
      <c r="A40" s="2">
        <v>2100</v>
      </c>
      <c r="B40" t="s">
        <v>151</v>
      </c>
      <c r="C40" s="43">
        <f>'19_20 District Budget-3'!N91</f>
        <v>102924878</v>
      </c>
      <c r="D40" s="43">
        <f>'PCFP-All Expense AA-1 Modif-3'!J21</f>
        <v>84471979</v>
      </c>
      <c r="E40" s="43"/>
      <c r="F40" s="12"/>
    </row>
    <row r="41" spans="1:7" hidden="1" x14ac:dyDescent="0.2">
      <c r="A41" s="2">
        <v>2200</v>
      </c>
      <c r="B41" t="s">
        <v>152</v>
      </c>
      <c r="C41" s="43">
        <f>'19_20 District Budget-3'!N92</f>
        <v>123384981</v>
      </c>
      <c r="D41" s="43">
        <f>'PCFP-All Expense AA-1 Modif-3'!J22</f>
        <v>53031447</v>
      </c>
      <c r="E41" s="43"/>
      <c r="F41" s="12"/>
    </row>
    <row r="42" spans="1:7" hidden="1" x14ac:dyDescent="0.2">
      <c r="A42" s="2">
        <v>2300</v>
      </c>
      <c r="B42" t="s">
        <v>153</v>
      </c>
      <c r="C42" s="43">
        <f>'19_20 District Budget-3'!N93</f>
        <v>36138180</v>
      </c>
      <c r="D42" s="43">
        <f>'PCFP-All Expense AA-1 Modif-3'!J23</f>
        <v>36138179</v>
      </c>
      <c r="E42" s="43"/>
      <c r="F42" s="12"/>
    </row>
    <row r="43" spans="1:7" hidden="1" x14ac:dyDescent="0.2">
      <c r="A43" s="2">
        <v>2400</v>
      </c>
      <c r="B43" t="s">
        <v>154</v>
      </c>
      <c r="C43" s="43">
        <f>'19_20 District Budget-3'!N94</f>
        <v>221488998</v>
      </c>
      <c r="D43" s="43">
        <f>'PCFP-All Expense AA-1 Modif-3'!J24</f>
        <v>219327688</v>
      </c>
      <c r="E43" s="43"/>
      <c r="F43" s="12"/>
    </row>
    <row r="44" spans="1:7" hidden="1" x14ac:dyDescent="0.2">
      <c r="A44" s="2">
        <v>2500</v>
      </c>
      <c r="B44" t="s">
        <v>155</v>
      </c>
      <c r="C44" s="43">
        <f>'19_20 District Budget-3'!N95</f>
        <v>62585920</v>
      </c>
      <c r="D44" s="43">
        <f>'PCFP-All Expense AA-1 Modif-3'!J25</f>
        <v>50522237</v>
      </c>
      <c r="E44" s="43"/>
      <c r="F44" s="12"/>
    </row>
    <row r="45" spans="1:7" hidden="1" x14ac:dyDescent="0.2">
      <c r="A45" s="2">
        <v>2600</v>
      </c>
      <c r="B45" t="s">
        <v>156</v>
      </c>
      <c r="C45" s="43">
        <f>'19_20 District Budget-3'!N96</f>
        <v>302763005</v>
      </c>
      <c r="D45" s="43">
        <f>'PCFP-All Expense AA-1 Modif-3'!J26</f>
        <v>255835825.28</v>
      </c>
      <c r="E45" s="43"/>
      <c r="F45" s="12"/>
    </row>
    <row r="46" spans="1:7" hidden="1" x14ac:dyDescent="0.2">
      <c r="A46" s="2">
        <v>2700</v>
      </c>
      <c r="B46" t="s">
        <v>157</v>
      </c>
      <c r="C46" s="43">
        <f>'19_20 District Budget-3'!N97</f>
        <v>165150276</v>
      </c>
      <c r="D46" s="43">
        <f>'PCFP-All Expense AA-1 Modif-3'!J27</f>
        <v>91107515</v>
      </c>
      <c r="E46" s="43"/>
      <c r="F46" s="12"/>
    </row>
    <row r="47" spans="1:7" hidden="1" x14ac:dyDescent="0.2">
      <c r="A47" s="2">
        <v>2900</v>
      </c>
      <c r="B47" t="s">
        <v>158</v>
      </c>
      <c r="C47" s="43">
        <f>'19_20 District Budget-3'!N98</f>
        <v>4354230</v>
      </c>
      <c r="D47" s="43">
        <f>'PCFP-All Expense AA-1 Modif-3'!J28</f>
        <v>0</v>
      </c>
      <c r="E47" s="43"/>
      <c r="F47" s="12"/>
    </row>
    <row r="48" spans="1:7" hidden="1" x14ac:dyDescent="0.2">
      <c r="A48" s="2">
        <v>3000</v>
      </c>
      <c r="B48" t="s">
        <v>159</v>
      </c>
      <c r="C48" s="43">
        <f>'19_20 District Budget-3'!N99</f>
        <v>0</v>
      </c>
      <c r="D48" s="43">
        <f>'PCFP-All Expense AA-1 Modif-3'!J29</f>
        <v>0</v>
      </c>
      <c r="E48" s="43"/>
      <c r="F48" s="12"/>
    </row>
    <row r="49" spans="1:6" hidden="1" x14ac:dyDescent="0.2">
      <c r="A49" s="2">
        <v>3100</v>
      </c>
      <c r="B49" t="s">
        <v>160</v>
      </c>
      <c r="C49" s="43">
        <f>'19_20 District Budget-3'!N100</f>
        <v>0</v>
      </c>
      <c r="D49" s="43">
        <f>'PCFP-All Expense AA-1 Modif-3'!J30</f>
        <v>0</v>
      </c>
      <c r="E49" s="43"/>
      <c r="F49" s="12"/>
    </row>
    <row r="50" spans="1:6" hidden="1" x14ac:dyDescent="0.2">
      <c r="A50" s="2">
        <v>3200</v>
      </c>
      <c r="B50" t="s">
        <v>161</v>
      </c>
      <c r="C50" s="43">
        <f>'19_20 District Budget-3'!N101</f>
        <v>0</v>
      </c>
      <c r="D50" s="43">
        <f>'PCFP-All Expense AA-1 Modif-3'!J31</f>
        <v>0</v>
      </c>
      <c r="E50" s="43"/>
      <c r="F50" s="12"/>
    </row>
    <row r="51" spans="1:6" hidden="1" x14ac:dyDescent="0.2">
      <c r="A51" s="2">
        <v>3300</v>
      </c>
      <c r="B51" t="s">
        <v>162</v>
      </c>
      <c r="C51" s="43">
        <f>'19_20 District Budget-3'!N102</f>
        <v>0</v>
      </c>
      <c r="D51" s="43">
        <f>'PCFP-All Expense AA-1 Modif-3'!J32</f>
        <v>0</v>
      </c>
      <c r="E51" s="43"/>
      <c r="F51" s="12"/>
    </row>
    <row r="52" spans="1:6" hidden="1" x14ac:dyDescent="0.2">
      <c r="A52" s="2">
        <v>4000</v>
      </c>
      <c r="B52" t="s">
        <v>164</v>
      </c>
      <c r="C52" s="43">
        <f>'19_20 District Budget-3'!N103</f>
        <v>0</v>
      </c>
      <c r="D52" s="43">
        <f>'PCFP-All Expense AA-1 Modif-3'!J33</f>
        <v>0</v>
      </c>
      <c r="E52" s="43"/>
      <c r="F52" s="12"/>
    </row>
    <row r="53" spans="1:6" hidden="1" x14ac:dyDescent="0.2">
      <c r="A53" s="2">
        <v>4100</v>
      </c>
      <c r="B53" t="s">
        <v>163</v>
      </c>
      <c r="C53" s="43">
        <f>'19_20 District Budget-3'!N104</f>
        <v>55235000</v>
      </c>
      <c r="D53" s="43">
        <f>'PCFP-All Expense AA-1 Modif-3'!J34</f>
        <v>0</v>
      </c>
      <c r="E53" s="43"/>
      <c r="F53" s="12"/>
    </row>
    <row r="54" spans="1:6" hidden="1" x14ac:dyDescent="0.2">
      <c r="A54" s="2">
        <v>4200</v>
      </c>
      <c r="B54" t="s">
        <v>165</v>
      </c>
      <c r="C54" s="43">
        <f>'19_20 District Budget-3'!N105</f>
        <v>68150000</v>
      </c>
      <c r="D54" s="43">
        <f>'PCFP-All Expense AA-1 Modif-3'!J35</f>
        <v>0</v>
      </c>
      <c r="E54" s="43"/>
      <c r="F54" s="12"/>
    </row>
    <row r="55" spans="1:6" hidden="1" x14ac:dyDescent="0.2">
      <c r="A55" s="2">
        <v>4300</v>
      </c>
      <c r="B55" t="s">
        <v>166</v>
      </c>
      <c r="C55" s="43">
        <f>'19_20 District Budget-3'!N106</f>
        <v>0</v>
      </c>
      <c r="D55" s="43">
        <f>'PCFP-All Expense AA-1 Modif-3'!J36</f>
        <v>0</v>
      </c>
      <c r="E55" s="43"/>
      <c r="F55" s="12"/>
    </row>
    <row r="56" spans="1:6" hidden="1" x14ac:dyDescent="0.2">
      <c r="A56" s="2">
        <v>4400</v>
      </c>
      <c r="B56" t="s">
        <v>167</v>
      </c>
      <c r="C56" s="43">
        <f>'19_20 District Budget-3'!N107</f>
        <v>0</v>
      </c>
      <c r="D56" s="43">
        <f>'PCFP-All Expense AA-1 Modif-3'!J37</f>
        <v>0</v>
      </c>
      <c r="E56" s="43"/>
      <c r="F56" s="12"/>
    </row>
    <row r="57" spans="1:6" hidden="1" x14ac:dyDescent="0.2">
      <c r="A57" s="2">
        <v>4500</v>
      </c>
      <c r="B57" t="s">
        <v>168</v>
      </c>
      <c r="C57" s="43">
        <f>'19_20 District Budget-3'!N108</f>
        <v>232502500</v>
      </c>
      <c r="D57" s="43">
        <f>'PCFP-All Expense AA-1 Modif-3'!J38</f>
        <v>0</v>
      </c>
      <c r="E57" s="43"/>
      <c r="F57" s="12"/>
    </row>
    <row r="58" spans="1:6" hidden="1" x14ac:dyDescent="0.2">
      <c r="A58" s="2">
        <v>4600</v>
      </c>
      <c r="B58" t="s">
        <v>169</v>
      </c>
      <c r="C58" s="43">
        <f>'19_20 District Budget-3'!N109</f>
        <v>0</v>
      </c>
      <c r="D58" s="43">
        <f>'PCFP-All Expense AA-1 Modif-3'!J39</f>
        <v>0</v>
      </c>
      <c r="E58" s="43"/>
      <c r="F58" s="12"/>
    </row>
    <row r="59" spans="1:6" hidden="1" x14ac:dyDescent="0.2">
      <c r="A59" s="2">
        <v>4700</v>
      </c>
      <c r="B59" t="s">
        <v>170</v>
      </c>
      <c r="C59" s="43">
        <f>'19_20 District Budget-3'!N110</f>
        <v>290467500</v>
      </c>
      <c r="D59" s="43">
        <f>'PCFP-All Expense AA-1 Modif-3'!J40</f>
        <v>0</v>
      </c>
      <c r="E59" s="43"/>
      <c r="F59" s="12"/>
    </row>
    <row r="60" spans="1:6" hidden="1" x14ac:dyDescent="0.2">
      <c r="A60" s="2">
        <v>4900</v>
      </c>
      <c r="B60" t="s">
        <v>171</v>
      </c>
      <c r="C60" s="43">
        <f>'19_20 District Budget-3'!N111</f>
        <v>18875000</v>
      </c>
      <c r="D60" s="43">
        <f>'PCFP-All Expense AA-1 Modif-3'!J41</f>
        <v>0</v>
      </c>
      <c r="E60" s="43"/>
      <c r="F60" s="12"/>
    </row>
    <row r="61" spans="1:6" hidden="1" x14ac:dyDescent="0.2">
      <c r="A61" s="2">
        <v>5000</v>
      </c>
      <c r="B61" t="s">
        <v>172</v>
      </c>
      <c r="C61" s="43">
        <f>'19_20 District Budget-3'!N112</f>
        <v>0</v>
      </c>
      <c r="D61" s="43">
        <f>'PCFP-All Expense AA-1 Modif-3'!J42</f>
        <v>0</v>
      </c>
      <c r="E61" s="43"/>
      <c r="F61" s="12"/>
    </row>
    <row r="62" spans="1:6" hidden="1" x14ac:dyDescent="0.2">
      <c r="A62" s="2">
        <v>5000</v>
      </c>
      <c r="B62" t="s">
        <v>173</v>
      </c>
      <c r="C62" s="43">
        <f>'19_20 District Budget-3'!N113</f>
        <v>627105914</v>
      </c>
      <c r="D62" s="43">
        <f>'PCFP-All Expense AA-1 Modif-3'!J43</f>
        <v>0</v>
      </c>
      <c r="E62" s="43"/>
      <c r="F62" s="12"/>
    </row>
    <row r="63" spans="1:6" hidden="1" x14ac:dyDescent="0.2">
      <c r="A63" s="2">
        <v>6100</v>
      </c>
      <c r="B63" t="s">
        <v>174</v>
      </c>
      <c r="C63" s="43">
        <f>'19_20 District Budget-3'!N114</f>
        <v>9084170</v>
      </c>
      <c r="D63" s="43">
        <f>'PCFP-All Expense AA-1 Modif-3'!J44</f>
        <v>0</v>
      </c>
      <c r="E63" s="43"/>
      <c r="F63" s="12"/>
    </row>
    <row r="64" spans="1:6" hidden="1" x14ac:dyDescent="0.2">
      <c r="A64" s="2">
        <v>6200</v>
      </c>
      <c r="B64" t="s">
        <v>175</v>
      </c>
      <c r="C64" s="43">
        <f>'19_20 District Budget-3'!N115</f>
        <v>564590406</v>
      </c>
      <c r="D64" s="43">
        <f>'PCFP-All Expense AA-1 Modif-3'!J45</f>
        <v>359636566</v>
      </c>
      <c r="E64" s="43"/>
      <c r="F64" s="12"/>
    </row>
    <row r="65" spans="1:7" hidden="1" x14ac:dyDescent="0.2">
      <c r="A65" s="2">
        <v>6300</v>
      </c>
      <c r="B65" t="s">
        <v>176</v>
      </c>
      <c r="C65" s="43">
        <f>'19_20 District Budget-3'!N116</f>
        <v>0</v>
      </c>
      <c r="D65" s="43">
        <f>'PCFP-All Expense AA-1 Modif-3'!J46</f>
        <v>0</v>
      </c>
      <c r="E65" s="43"/>
      <c r="F65" s="12"/>
    </row>
    <row r="66" spans="1:7" hidden="1" x14ac:dyDescent="0.2">
      <c r="A66" s="2">
        <v>8000</v>
      </c>
      <c r="B66" t="s">
        <v>177</v>
      </c>
      <c r="C66" s="43">
        <f>'19_20 District Budget-3'!N117</f>
        <v>814431256</v>
      </c>
      <c r="D66" s="43">
        <f>'PCFP-All Expense AA-1 Modif-3'!J47</f>
        <v>95066000</v>
      </c>
      <c r="E66" s="43"/>
      <c r="F66" s="12"/>
      <c r="G66" s="17"/>
    </row>
    <row r="67" spans="1:7" x14ac:dyDescent="0.2">
      <c r="C67" s="43"/>
      <c r="D67" s="43"/>
      <c r="E67" s="43"/>
      <c r="F67" s="12"/>
      <c r="G67" s="17"/>
    </row>
    <row r="68" spans="1:7" s="2" customFormat="1" x14ac:dyDescent="0.2">
      <c r="B68" s="2" t="str">
        <f>'PCFP-All Expense AA-1 Modif-3'!A52</f>
        <v>DEBT SERVICE</v>
      </c>
      <c r="C68" s="40">
        <v>0</v>
      </c>
      <c r="D68" s="40">
        <f>'PCFP-All Expense AA-1 Modif-3'!J52</f>
        <v>627105914</v>
      </c>
      <c r="E68" s="40"/>
      <c r="F68" s="19"/>
    </row>
    <row r="69" spans="1:7" x14ac:dyDescent="0.2">
      <c r="C69" s="43"/>
      <c r="D69" s="43"/>
      <c r="E69" s="43"/>
      <c r="F69" s="12"/>
      <c r="G69" s="17"/>
    </row>
    <row r="70" spans="1:7" s="2" customFormat="1" x14ac:dyDescent="0.2">
      <c r="A70" s="53"/>
      <c r="B70" s="2" t="s">
        <v>308</v>
      </c>
      <c r="C70" s="40">
        <f>SUM(C71:C159)</f>
        <v>-389689958</v>
      </c>
      <c r="D70" s="40">
        <f>SUM(D71:D159)</f>
        <v>1911712902</v>
      </c>
      <c r="E70" s="43"/>
      <c r="F70" s="12"/>
    </row>
    <row r="71" spans="1:7" hidden="1" x14ac:dyDescent="0.2">
      <c r="B71" t="s">
        <v>179</v>
      </c>
      <c r="C71" s="43">
        <f>'19_20 District Budget-3'!N120</f>
        <v>0</v>
      </c>
      <c r="D71" s="43">
        <f>'PCFP-All Expense AA-1 Modif-3'!J56</f>
        <v>0</v>
      </c>
      <c r="E71" s="43"/>
      <c r="F71" s="12"/>
    </row>
    <row r="72" spans="1:7" hidden="1" x14ac:dyDescent="0.2">
      <c r="B72" t="s">
        <v>145</v>
      </c>
      <c r="C72" s="43">
        <f>'19_20 District Budget-3'!N121</f>
        <v>0</v>
      </c>
      <c r="D72" s="43">
        <f>'PCFP-All Expense AA-1 Modif-3'!J57</f>
        <v>0</v>
      </c>
      <c r="E72" s="43"/>
      <c r="F72" s="12"/>
    </row>
    <row r="73" spans="1:7" hidden="1" x14ac:dyDescent="0.2">
      <c r="B73" t="s">
        <v>180</v>
      </c>
      <c r="C73" s="43">
        <f>'19_20 District Budget-3'!N122</f>
        <v>0</v>
      </c>
      <c r="D73" s="43">
        <f>'PCFP-All Expense AA-1 Modif-3'!J58</f>
        <v>0</v>
      </c>
      <c r="E73" s="43"/>
      <c r="F73" s="12"/>
    </row>
    <row r="74" spans="1:7" hidden="1" x14ac:dyDescent="0.2">
      <c r="B74" t="s">
        <v>181</v>
      </c>
      <c r="C74" s="43">
        <f>'19_20 District Budget-3'!N123</f>
        <v>0</v>
      </c>
      <c r="D74" s="43">
        <f>'PCFP-All Expense AA-1 Modif-3'!J59</f>
        <v>0</v>
      </c>
      <c r="E74" s="43"/>
      <c r="F74" s="12"/>
    </row>
    <row r="75" spans="1:7" hidden="1" x14ac:dyDescent="0.2">
      <c r="B75" t="s">
        <v>182</v>
      </c>
      <c r="C75" s="43">
        <f>'19_20 District Budget-3'!N124</f>
        <v>0</v>
      </c>
      <c r="D75" s="43">
        <f>'PCFP-All Expense AA-1 Modif-3'!J60</f>
        <v>1240097409</v>
      </c>
      <c r="E75" s="43"/>
      <c r="F75" s="12"/>
    </row>
    <row r="76" spans="1:7" hidden="1" x14ac:dyDescent="0.2">
      <c r="B76" t="s">
        <v>183</v>
      </c>
      <c r="C76" s="43">
        <f>'19_20 District Budget-3'!N125</f>
        <v>0</v>
      </c>
      <c r="D76" s="43">
        <f>'PCFP-All Expense AA-1 Modif-3'!J61</f>
        <v>0</v>
      </c>
      <c r="E76" s="43"/>
      <c r="F76" s="12"/>
    </row>
    <row r="77" spans="1:7" hidden="1" x14ac:dyDescent="0.2">
      <c r="B77" t="s">
        <v>184</v>
      </c>
      <c r="C77" s="43">
        <f>'19_20 District Budget-3'!N126</f>
        <v>0</v>
      </c>
      <c r="D77" s="43">
        <f>'PCFP-All Expense AA-1 Modif-3'!J62</f>
        <v>0</v>
      </c>
      <c r="E77" s="43"/>
      <c r="F77" s="12"/>
    </row>
    <row r="78" spans="1:7" hidden="1" x14ac:dyDescent="0.2">
      <c r="B78" t="s">
        <v>185</v>
      </c>
      <c r="C78" s="43">
        <f>'19_20 District Budget-3'!N127</f>
        <v>0</v>
      </c>
      <c r="D78" s="43">
        <f>'PCFP-All Expense AA-1 Modif-3'!J63</f>
        <v>11315416</v>
      </c>
      <c r="E78" s="43"/>
      <c r="F78" s="12"/>
    </row>
    <row r="79" spans="1:7" hidden="1" x14ac:dyDescent="0.2">
      <c r="B79" t="s">
        <v>186</v>
      </c>
      <c r="C79" s="43">
        <f>'19_20 District Budget-3'!N128</f>
        <v>0</v>
      </c>
      <c r="D79" s="43">
        <f>'PCFP-All Expense AA-1 Modif-3'!J64</f>
        <v>0</v>
      </c>
      <c r="E79" s="43"/>
      <c r="F79" s="12"/>
    </row>
    <row r="80" spans="1:7" hidden="1" x14ac:dyDescent="0.2">
      <c r="B80" t="s">
        <v>187</v>
      </c>
      <c r="C80" s="43">
        <f>'19_20 District Budget-3'!N129</f>
        <v>0</v>
      </c>
      <c r="D80" s="43">
        <f>'PCFP-All Expense AA-1 Modif-3'!J65</f>
        <v>112159327</v>
      </c>
      <c r="E80" s="43"/>
      <c r="F80" s="12"/>
    </row>
    <row r="81" spans="2:6" hidden="1" x14ac:dyDescent="0.2">
      <c r="B81" t="s">
        <v>188</v>
      </c>
      <c r="C81" s="43">
        <f>'19_20 District Budget-3'!N130</f>
        <v>-564590406</v>
      </c>
      <c r="D81" s="43">
        <f>'PCFP-All Expense AA-1 Modif-3'!J66</f>
        <v>0</v>
      </c>
      <c r="E81" s="43"/>
      <c r="F81" s="12"/>
    </row>
    <row r="82" spans="2:6" hidden="1" x14ac:dyDescent="0.2">
      <c r="B82" t="s">
        <v>189</v>
      </c>
      <c r="C82" s="43">
        <f>'19_20 District Budget-3'!N131</f>
        <v>0</v>
      </c>
      <c r="D82" s="43">
        <f>'PCFP-All Expense AA-1 Modif-3'!J67</f>
        <v>0</v>
      </c>
      <c r="E82" s="43"/>
      <c r="F82" s="12"/>
    </row>
    <row r="83" spans="2:6" hidden="1" x14ac:dyDescent="0.2">
      <c r="B83" t="s">
        <v>190</v>
      </c>
      <c r="C83" s="43">
        <f>'19_20 District Budget-3'!N132</f>
        <v>0</v>
      </c>
      <c r="D83" s="43">
        <f>'PCFP-All Expense AA-1 Modif-3'!J68</f>
        <v>0</v>
      </c>
      <c r="E83" s="43"/>
      <c r="F83" s="12"/>
    </row>
    <row r="84" spans="2:6" hidden="1" x14ac:dyDescent="0.2">
      <c r="B84" t="s">
        <v>191</v>
      </c>
      <c r="C84" s="43">
        <f>'19_20 District Budget-3'!N133</f>
        <v>0</v>
      </c>
      <c r="D84" s="43">
        <f>'PCFP-All Expense AA-1 Modif-3'!J69</f>
        <v>126000000</v>
      </c>
      <c r="E84" s="43"/>
      <c r="F84" s="12"/>
    </row>
    <row r="85" spans="2:6" hidden="1" x14ac:dyDescent="0.2">
      <c r="B85" t="s">
        <v>192</v>
      </c>
      <c r="C85" s="43">
        <f>'19_20 District Budget-3'!N134</f>
        <v>0</v>
      </c>
      <c r="D85" s="43">
        <f>'PCFP-All Expense AA-1 Modif-3'!J70</f>
        <v>0</v>
      </c>
      <c r="E85" s="43"/>
      <c r="F85" s="12"/>
    </row>
    <row r="86" spans="2:6" hidden="1" x14ac:dyDescent="0.2">
      <c r="B86" t="s">
        <v>193</v>
      </c>
      <c r="C86" s="43">
        <f>'19_20 District Budget-3'!N135</f>
        <v>0</v>
      </c>
      <c r="D86" s="43">
        <f>'PCFP-All Expense AA-1 Modif-3'!J71</f>
        <v>0</v>
      </c>
      <c r="E86" s="43"/>
      <c r="F86" s="12"/>
    </row>
    <row r="87" spans="2:6" hidden="1" x14ac:dyDescent="0.2">
      <c r="B87" t="s">
        <v>194</v>
      </c>
      <c r="C87" s="43">
        <f>'19_20 District Budget-3'!N136</f>
        <v>0</v>
      </c>
      <c r="D87" s="43">
        <f>'PCFP-All Expense AA-1 Modif-3'!J72</f>
        <v>0</v>
      </c>
      <c r="E87" s="43"/>
      <c r="F87" s="12"/>
    </row>
    <row r="88" spans="2:6" hidden="1" x14ac:dyDescent="0.2">
      <c r="B88" t="s">
        <v>195</v>
      </c>
      <c r="C88" s="43">
        <f>'19_20 District Budget-3'!N137</f>
        <v>0</v>
      </c>
      <c r="D88" s="43">
        <f>'PCFP-All Expense AA-1 Modif-3'!J73</f>
        <v>0</v>
      </c>
      <c r="E88" s="43"/>
      <c r="F88" s="12"/>
    </row>
    <row r="89" spans="2:6" hidden="1" x14ac:dyDescent="0.2">
      <c r="B89" t="s">
        <v>196</v>
      </c>
      <c r="C89" s="43">
        <f>'19_20 District Budget-3'!N138</f>
        <v>0</v>
      </c>
      <c r="D89" s="43">
        <f>'PCFP-All Expense AA-1 Modif-3'!J74</f>
        <v>0</v>
      </c>
      <c r="E89" s="43"/>
      <c r="F89" s="12"/>
    </row>
    <row r="90" spans="2:6" hidden="1" x14ac:dyDescent="0.2">
      <c r="B90" t="s">
        <v>197</v>
      </c>
      <c r="C90" s="43">
        <f>'19_20 District Budget-3'!N139</f>
        <v>0</v>
      </c>
      <c r="D90" s="43">
        <f>'PCFP-All Expense AA-1 Modif-3'!J75</f>
        <v>0</v>
      </c>
      <c r="E90" s="43"/>
      <c r="F90" s="12"/>
    </row>
    <row r="91" spans="2:6" hidden="1" x14ac:dyDescent="0.2">
      <c r="B91" t="s">
        <v>198</v>
      </c>
      <c r="C91" s="43">
        <f>'19_20 District Budget-3'!N140</f>
        <v>0</v>
      </c>
      <c r="D91" s="43">
        <f>'PCFP-All Expense AA-1 Modif-3'!J76</f>
        <v>130410044</v>
      </c>
      <c r="E91" s="43"/>
      <c r="F91" s="12"/>
    </row>
    <row r="92" spans="2:6" hidden="1" x14ac:dyDescent="0.2">
      <c r="B92" t="s">
        <v>199</v>
      </c>
      <c r="C92" s="43">
        <f>'19_20 District Budget-3'!N141</f>
        <v>0</v>
      </c>
      <c r="D92" s="43">
        <f>'PCFP-All Expense AA-1 Modif-3'!J77</f>
        <v>0</v>
      </c>
      <c r="E92" s="43"/>
      <c r="F92" s="12"/>
    </row>
    <row r="93" spans="2:6" hidden="1" x14ac:dyDescent="0.2">
      <c r="B93" t="s">
        <v>200</v>
      </c>
      <c r="C93" s="43">
        <f>'19_20 District Budget-3'!N142</f>
        <v>0</v>
      </c>
      <c r="D93" s="43">
        <f>'PCFP-All Expense AA-1 Modif-3'!J78</f>
        <v>0</v>
      </c>
      <c r="E93" s="43"/>
      <c r="F93" s="12"/>
    </row>
    <row r="94" spans="2:6" hidden="1" x14ac:dyDescent="0.2">
      <c r="B94" t="s">
        <v>201</v>
      </c>
      <c r="C94" s="43">
        <f>'19_20 District Budget-3'!N143</f>
        <v>0</v>
      </c>
      <c r="D94" s="43">
        <f>'PCFP-All Expense AA-1 Modif-3'!J79</f>
        <v>0</v>
      </c>
      <c r="E94" s="43"/>
      <c r="F94" s="12"/>
    </row>
    <row r="95" spans="2:6" hidden="1" x14ac:dyDescent="0.2">
      <c r="B95" t="s">
        <v>202</v>
      </c>
      <c r="C95" s="43">
        <f>'19_20 District Budget-3'!N144</f>
        <v>0</v>
      </c>
      <c r="D95" s="43">
        <f>'PCFP-All Expense AA-1 Modif-3'!J80</f>
        <v>0</v>
      </c>
      <c r="E95" s="43"/>
      <c r="F95" s="12"/>
    </row>
    <row r="96" spans="2:6" hidden="1" x14ac:dyDescent="0.2">
      <c r="B96" t="s">
        <v>203</v>
      </c>
      <c r="C96" s="43">
        <f>'19_20 District Budget-3'!N145</f>
        <v>0</v>
      </c>
      <c r="D96" s="43">
        <f>'PCFP-All Expense AA-1 Modif-3'!J81</f>
        <v>0</v>
      </c>
      <c r="E96" s="43"/>
      <c r="F96" s="12"/>
    </row>
    <row r="97" spans="2:6" hidden="1" x14ac:dyDescent="0.2">
      <c r="B97" t="s">
        <v>204</v>
      </c>
      <c r="C97" s="43">
        <f>'19_20 District Budget-3'!N146</f>
        <v>0</v>
      </c>
      <c r="D97" s="43">
        <f>'PCFP-All Expense AA-1 Modif-3'!J82</f>
        <v>208991910</v>
      </c>
      <c r="E97" s="43"/>
      <c r="F97" s="12"/>
    </row>
    <row r="98" spans="2:6" hidden="1" x14ac:dyDescent="0.2">
      <c r="B98" t="s">
        <v>205</v>
      </c>
      <c r="C98" s="43">
        <f>'19_20 District Budget-3'!N147</f>
        <v>0</v>
      </c>
      <c r="D98" s="43">
        <f>'PCFP-All Expense AA-1 Modif-3'!J83</f>
        <v>0</v>
      </c>
      <c r="E98" s="43"/>
      <c r="F98" s="12"/>
    </row>
    <row r="99" spans="2:6" hidden="1" x14ac:dyDescent="0.2">
      <c r="B99" t="s">
        <v>206</v>
      </c>
      <c r="C99" s="43">
        <f>'19_20 District Budget-3'!N148</f>
        <v>140081386</v>
      </c>
      <c r="D99" s="43">
        <f>'PCFP-All Expense AA-1 Modif-3'!J84</f>
        <v>0</v>
      </c>
      <c r="E99" s="43"/>
      <c r="F99" s="12"/>
    </row>
    <row r="100" spans="2:6" hidden="1" x14ac:dyDescent="0.2">
      <c r="B100" t="s">
        <v>207</v>
      </c>
      <c r="C100" s="43">
        <f>'19_20 District Budget-3'!N149</f>
        <v>0</v>
      </c>
      <c r="D100" s="43">
        <f>'PCFP-All Expense AA-1 Modif-3'!J85</f>
        <v>0</v>
      </c>
      <c r="E100" s="43"/>
      <c r="F100" s="12"/>
    </row>
    <row r="101" spans="2:6" hidden="1" x14ac:dyDescent="0.2">
      <c r="B101" t="s">
        <v>208</v>
      </c>
      <c r="C101" s="43">
        <f>'19_20 District Budget-3'!N150</f>
        <v>0</v>
      </c>
      <c r="D101" s="43">
        <f>'PCFP-All Expense AA-1 Modif-3'!J86</f>
        <v>0</v>
      </c>
      <c r="E101" s="43"/>
      <c r="F101" s="12"/>
    </row>
    <row r="102" spans="2:6" hidden="1" x14ac:dyDescent="0.2">
      <c r="B102" t="s">
        <v>209</v>
      </c>
      <c r="C102" s="43">
        <f>'19_20 District Budget-3'!N151</f>
        <v>0</v>
      </c>
      <c r="D102" s="43">
        <f>'PCFP-All Expense AA-1 Modif-3'!J87</f>
        <v>0</v>
      </c>
      <c r="E102" s="43"/>
      <c r="F102" s="12"/>
    </row>
    <row r="103" spans="2:6" hidden="1" x14ac:dyDescent="0.2">
      <c r="B103" t="s">
        <v>210</v>
      </c>
      <c r="C103" s="43">
        <f>'19_20 District Budget-3'!N152</f>
        <v>0</v>
      </c>
      <c r="D103" s="43">
        <f>'PCFP-All Expense AA-1 Modif-3'!J88</f>
        <v>0</v>
      </c>
      <c r="E103" s="43"/>
      <c r="F103" s="12"/>
    </row>
    <row r="104" spans="2:6" hidden="1" x14ac:dyDescent="0.2">
      <c r="B104" t="s">
        <v>211</v>
      </c>
      <c r="C104" s="43">
        <f>'19_20 District Budget-3'!N153</f>
        <v>0</v>
      </c>
      <c r="D104" s="43">
        <f>'PCFP-All Expense AA-1 Modif-3'!J89</f>
        <v>0</v>
      </c>
      <c r="E104" s="43"/>
      <c r="F104" s="12"/>
    </row>
    <row r="105" spans="2:6" hidden="1" x14ac:dyDescent="0.2">
      <c r="B105" t="s">
        <v>212</v>
      </c>
      <c r="C105" s="43">
        <f>'19_20 District Budget-3'!N154</f>
        <v>0</v>
      </c>
      <c r="D105" s="43">
        <f>'PCFP-All Expense AA-1 Modif-3'!J90</f>
        <v>0</v>
      </c>
      <c r="E105" s="43"/>
      <c r="F105" s="12"/>
    </row>
    <row r="106" spans="2:6" hidden="1" x14ac:dyDescent="0.2">
      <c r="B106" t="s">
        <v>213</v>
      </c>
      <c r="C106" s="43">
        <f>'19_20 District Budget-3'!N155</f>
        <v>0</v>
      </c>
      <c r="D106" s="43">
        <f>'PCFP-All Expense AA-1 Modif-3'!J91</f>
        <v>0</v>
      </c>
      <c r="E106" s="43"/>
      <c r="F106" s="12"/>
    </row>
    <row r="107" spans="2:6" hidden="1" x14ac:dyDescent="0.2">
      <c r="B107" t="s">
        <v>214</v>
      </c>
      <c r="C107" s="43">
        <f>'19_20 District Budget-3'!N156</f>
        <v>0</v>
      </c>
      <c r="D107" s="43">
        <f>'PCFP-All Expense AA-1 Modif-3'!J92</f>
        <v>0</v>
      </c>
      <c r="E107" s="43"/>
      <c r="F107" s="12"/>
    </row>
    <row r="108" spans="2:6" hidden="1" x14ac:dyDescent="0.2">
      <c r="B108" t="s">
        <v>215</v>
      </c>
      <c r="C108" s="43">
        <f>'19_20 District Budget-3'!N157</f>
        <v>0</v>
      </c>
      <c r="D108" s="43">
        <f>'PCFP-All Expense AA-1 Modif-3'!J93</f>
        <v>14686575</v>
      </c>
      <c r="E108" s="43"/>
      <c r="F108" s="12"/>
    </row>
    <row r="109" spans="2:6" hidden="1" x14ac:dyDescent="0.2">
      <c r="B109" t="s">
        <v>216</v>
      </c>
      <c r="C109" s="43">
        <f>'19_20 District Budget-3'!N158</f>
        <v>0</v>
      </c>
      <c r="D109" s="43">
        <f>'PCFP-All Expense AA-1 Modif-3'!J94</f>
        <v>0</v>
      </c>
      <c r="E109" s="43"/>
      <c r="F109" s="12"/>
    </row>
    <row r="110" spans="2:6" hidden="1" x14ac:dyDescent="0.2">
      <c r="B110" t="s">
        <v>217</v>
      </c>
      <c r="C110" s="43">
        <f>'19_20 District Budget-3'!N159</f>
        <v>0</v>
      </c>
      <c r="D110" s="43">
        <f>'PCFP-All Expense AA-1 Modif-3'!J95</f>
        <v>0</v>
      </c>
      <c r="E110" s="43"/>
      <c r="F110" s="12"/>
    </row>
    <row r="111" spans="2:6" hidden="1" x14ac:dyDescent="0.2">
      <c r="B111" t="s">
        <v>218</v>
      </c>
      <c r="C111" s="43">
        <f>'19_20 District Budget-3'!N160</f>
        <v>0</v>
      </c>
      <c r="D111" s="43">
        <f>'PCFP-All Expense AA-1 Modif-3'!J96</f>
        <v>0</v>
      </c>
      <c r="E111" s="43"/>
      <c r="F111" s="12"/>
    </row>
    <row r="112" spans="2:6" hidden="1" x14ac:dyDescent="0.2">
      <c r="B112" t="s">
        <v>219</v>
      </c>
      <c r="C112" s="43">
        <f>'19_20 District Budget-3'!N161</f>
        <v>0</v>
      </c>
      <c r="D112" s="43">
        <f>'PCFP-All Expense AA-1 Modif-3'!J97</f>
        <v>55891200</v>
      </c>
      <c r="E112" s="43"/>
      <c r="F112" s="12"/>
    </row>
    <row r="113" spans="1:6" hidden="1" x14ac:dyDescent="0.2">
      <c r="B113" t="s">
        <v>220</v>
      </c>
      <c r="C113" s="43">
        <f>'19_20 District Budget-3'!N162</f>
        <v>0</v>
      </c>
      <c r="D113" s="43">
        <f>'PCFP-All Expense AA-1 Modif-3'!J98</f>
        <v>0</v>
      </c>
      <c r="E113" s="43"/>
      <c r="F113" s="12"/>
    </row>
    <row r="114" spans="1:6" hidden="1" x14ac:dyDescent="0.2">
      <c r="B114" t="s">
        <v>221</v>
      </c>
      <c r="C114" s="43">
        <f>'19_20 District Budget-3'!N163</f>
        <v>0</v>
      </c>
      <c r="D114" s="43">
        <f>'PCFP-All Expense AA-1 Modif-3'!J99</f>
        <v>13418985</v>
      </c>
      <c r="E114" s="43"/>
      <c r="F114" s="12"/>
    </row>
    <row r="115" spans="1:6" hidden="1" x14ac:dyDescent="0.2">
      <c r="A115" s="2" t="s">
        <v>10</v>
      </c>
      <c r="B115" t="s">
        <v>142</v>
      </c>
      <c r="C115" s="43">
        <f>'19_20 District Budget-3'!N164</f>
        <v>0</v>
      </c>
      <c r="D115" s="43">
        <f>'PCFP-All Expense AA-1 Modif-3'!J100</f>
        <v>0</v>
      </c>
      <c r="E115" s="43"/>
      <c r="F115" s="12"/>
    </row>
    <row r="116" spans="1:6" hidden="1" x14ac:dyDescent="0.2">
      <c r="A116" s="2" t="s">
        <v>10</v>
      </c>
      <c r="B116" t="s">
        <v>141</v>
      </c>
      <c r="C116" s="43">
        <f>'19_20 District Budget-3'!N165</f>
        <v>0</v>
      </c>
      <c r="D116" s="43">
        <f>'PCFP-All Expense AA-1 Modif-3'!J101</f>
        <v>0</v>
      </c>
      <c r="E116" s="43"/>
      <c r="F116" s="12"/>
    </row>
    <row r="117" spans="1:6" hidden="1" x14ac:dyDescent="0.2">
      <c r="A117" s="2" t="s">
        <v>33</v>
      </c>
      <c r="B117" t="s">
        <v>222</v>
      </c>
      <c r="C117" s="43">
        <f>'19_20 District Budget-3'!N166</f>
        <v>0</v>
      </c>
      <c r="D117" s="43">
        <f>'PCFP-All Expense AA-1 Modif-3'!J102</f>
        <v>0</v>
      </c>
      <c r="E117" s="43"/>
      <c r="F117" s="12"/>
    </row>
    <row r="118" spans="1:6" hidden="1" x14ac:dyDescent="0.2">
      <c r="A118" s="2" t="s">
        <v>10</v>
      </c>
      <c r="B118" t="s">
        <v>138</v>
      </c>
      <c r="C118" s="43">
        <f>'19_20 District Budget-3'!N167</f>
        <v>0</v>
      </c>
      <c r="D118" s="43">
        <f>'PCFP-All Expense AA-1 Modif-3'!J103</f>
        <v>0</v>
      </c>
      <c r="E118" s="43"/>
      <c r="F118" s="12"/>
    </row>
    <row r="119" spans="1:6" hidden="1" x14ac:dyDescent="0.2">
      <c r="A119" s="2" t="s">
        <v>10</v>
      </c>
      <c r="B119" t="s">
        <v>136</v>
      </c>
      <c r="C119" s="43">
        <f>'19_20 District Budget-3'!N168</f>
        <v>0</v>
      </c>
      <c r="D119" s="43">
        <f>'PCFP-All Expense AA-1 Modif-3'!J104</f>
        <v>0</v>
      </c>
      <c r="E119" s="43"/>
      <c r="F119" s="12"/>
    </row>
    <row r="120" spans="1:6" hidden="1" x14ac:dyDescent="0.2">
      <c r="B120" t="s">
        <v>223</v>
      </c>
      <c r="C120" s="43">
        <f>'19_20 District Budget-3'!N169</f>
        <v>0</v>
      </c>
      <c r="D120" s="43">
        <f>'PCFP-All Expense AA-1 Modif-3'!J105</f>
        <v>0</v>
      </c>
      <c r="E120" s="43"/>
      <c r="F120" s="12"/>
    </row>
    <row r="121" spans="1:6" hidden="1" x14ac:dyDescent="0.2">
      <c r="B121" t="s">
        <v>224</v>
      </c>
      <c r="C121" s="43">
        <f>'19_20 District Budget-3'!N170</f>
        <v>0</v>
      </c>
      <c r="D121" s="43">
        <f>'PCFP-All Expense AA-1 Modif-3'!J106</f>
        <v>0</v>
      </c>
      <c r="E121" s="43"/>
      <c r="F121" s="12"/>
    </row>
    <row r="122" spans="1:6" hidden="1" x14ac:dyDescent="0.2">
      <c r="B122" t="s">
        <v>225</v>
      </c>
      <c r="C122" s="43">
        <f>'19_20 District Budget-3'!N171</f>
        <v>0</v>
      </c>
      <c r="D122" s="43">
        <f>'PCFP-All Expense AA-1 Modif-3'!J107</f>
        <v>0</v>
      </c>
      <c r="E122" s="43"/>
      <c r="F122" s="12"/>
    </row>
    <row r="123" spans="1:6" hidden="1" x14ac:dyDescent="0.2">
      <c r="B123" t="s">
        <v>226</v>
      </c>
      <c r="C123" s="43">
        <f>'19_20 District Budget-3'!N172</f>
        <v>0</v>
      </c>
      <c r="D123" s="43">
        <f>'PCFP-All Expense AA-1 Modif-3'!J108</f>
        <v>0</v>
      </c>
      <c r="E123" s="43"/>
      <c r="F123" s="12"/>
    </row>
    <row r="124" spans="1:6" hidden="1" x14ac:dyDescent="0.2">
      <c r="B124" t="s">
        <v>227</v>
      </c>
      <c r="C124" s="43">
        <f>'19_20 District Budget-3'!N173</f>
        <v>0</v>
      </c>
      <c r="D124" s="43">
        <f>'PCFP-All Expense AA-1 Modif-3'!J109</f>
        <v>0</v>
      </c>
      <c r="E124" s="43"/>
      <c r="F124" s="12"/>
    </row>
    <row r="125" spans="1:6" hidden="1" x14ac:dyDescent="0.2">
      <c r="B125" t="s">
        <v>228</v>
      </c>
      <c r="C125" s="43">
        <f>'19_20 District Budget-3'!N174</f>
        <v>0</v>
      </c>
      <c r="D125" s="43">
        <f>'PCFP-All Expense AA-1 Modif-3'!J110</f>
        <v>0</v>
      </c>
      <c r="E125" s="43"/>
      <c r="F125" s="12"/>
    </row>
    <row r="126" spans="1:6" hidden="1" x14ac:dyDescent="0.2">
      <c r="B126" t="s">
        <v>229</v>
      </c>
      <c r="C126" s="43">
        <f>'19_20 District Budget-3'!N175</f>
        <v>0</v>
      </c>
      <c r="D126" s="43">
        <f>'PCFP-All Expense AA-1 Modif-3'!J111</f>
        <v>0</v>
      </c>
      <c r="E126" s="43"/>
      <c r="F126" s="12"/>
    </row>
    <row r="127" spans="1:6" hidden="1" x14ac:dyDescent="0.2">
      <c r="B127" t="s">
        <v>230</v>
      </c>
      <c r="C127" s="43">
        <f>'19_20 District Budget-3'!N176</f>
        <v>0</v>
      </c>
      <c r="D127" s="43">
        <f>'PCFP-All Expense AA-1 Modif-3'!J112</f>
        <v>0</v>
      </c>
      <c r="E127" s="43"/>
      <c r="F127" s="12"/>
    </row>
    <row r="128" spans="1:6" hidden="1" x14ac:dyDescent="0.2">
      <c r="B128" t="s">
        <v>231</v>
      </c>
      <c r="C128" s="43">
        <f>'19_20 District Budget-3'!N177</f>
        <v>0</v>
      </c>
      <c r="D128" s="43">
        <f>'PCFP-All Expense AA-1 Modif-3'!J113</f>
        <v>0</v>
      </c>
      <c r="E128" s="43"/>
      <c r="F128" s="12"/>
    </row>
    <row r="129" spans="2:6" hidden="1" x14ac:dyDescent="0.2">
      <c r="B129" t="s">
        <v>232</v>
      </c>
      <c r="C129" s="43">
        <f>'19_20 District Budget-3'!N178</f>
        <v>0</v>
      </c>
      <c r="D129" s="43">
        <f>'PCFP-All Expense AA-1 Modif-3'!J114</f>
        <v>0</v>
      </c>
      <c r="E129" s="43"/>
      <c r="F129" s="12"/>
    </row>
    <row r="130" spans="2:6" hidden="1" x14ac:dyDescent="0.2">
      <c r="B130" t="s">
        <v>233</v>
      </c>
      <c r="C130" s="43">
        <f>'19_20 District Budget-3'!N179</f>
        <v>0</v>
      </c>
      <c r="D130" s="43">
        <f>'PCFP-All Expense AA-1 Modif-3'!J115</f>
        <v>0</v>
      </c>
      <c r="E130" s="43"/>
      <c r="F130" s="12"/>
    </row>
    <row r="131" spans="2:6" hidden="1" x14ac:dyDescent="0.2">
      <c r="B131" t="s">
        <v>234</v>
      </c>
      <c r="C131" s="43">
        <f>'19_20 District Budget-3'!N180</f>
        <v>0</v>
      </c>
      <c r="D131" s="43">
        <f>'PCFP-All Expense AA-1 Modif-3'!J116</f>
        <v>0</v>
      </c>
      <c r="E131" s="43"/>
      <c r="F131" s="12"/>
    </row>
    <row r="132" spans="2:6" hidden="1" x14ac:dyDescent="0.2">
      <c r="B132" t="s">
        <v>9</v>
      </c>
      <c r="C132" s="43">
        <f>'19_20 District Budget-3'!N181</f>
        <v>0</v>
      </c>
      <c r="D132" s="43">
        <f>'PCFP-All Expense AA-1 Modif-3'!J117</f>
        <v>0</v>
      </c>
      <c r="E132" s="43"/>
      <c r="F132" s="12"/>
    </row>
    <row r="133" spans="2:6" hidden="1" x14ac:dyDescent="0.2">
      <c r="B133" t="s">
        <v>235</v>
      </c>
      <c r="C133" s="43">
        <f>'19_20 District Budget-3'!N182</f>
        <v>0</v>
      </c>
      <c r="D133" s="43">
        <f>'PCFP-All Expense AA-1 Modif-3'!J118</f>
        <v>0</v>
      </c>
      <c r="E133" s="43"/>
      <c r="F133" s="12"/>
    </row>
    <row r="134" spans="2:6" hidden="1" x14ac:dyDescent="0.2">
      <c r="B134" t="s">
        <v>236</v>
      </c>
      <c r="C134" s="43">
        <f>'19_20 District Budget-3'!N183</f>
        <v>0</v>
      </c>
      <c r="D134" s="43">
        <f>'PCFP-All Expense AA-1 Modif-3'!J119</f>
        <v>181674250</v>
      </c>
      <c r="E134" s="43"/>
      <c r="F134" s="12"/>
    </row>
    <row r="135" spans="2:6" hidden="1" x14ac:dyDescent="0.2">
      <c r="B135" t="s">
        <v>237</v>
      </c>
      <c r="C135" s="43">
        <f>'19_20 District Budget-3'!N184</f>
        <v>0</v>
      </c>
      <c r="D135" s="43">
        <f>'PCFP-All Expense AA-1 Modif-3'!J120</f>
        <v>0</v>
      </c>
      <c r="E135" s="43"/>
      <c r="F135" s="12"/>
    </row>
    <row r="136" spans="2:6" hidden="1" x14ac:dyDescent="0.2">
      <c r="B136" t="s">
        <v>238</v>
      </c>
      <c r="C136" s="43">
        <f>'19_20 District Budget-3'!N185</f>
        <v>0</v>
      </c>
      <c r="D136" s="43">
        <f>'PCFP-All Expense AA-1 Modif-3'!J121</f>
        <v>115609189</v>
      </c>
      <c r="E136" s="43"/>
      <c r="F136" s="12"/>
    </row>
    <row r="137" spans="2:6" hidden="1" x14ac:dyDescent="0.2">
      <c r="B137" t="s">
        <v>239</v>
      </c>
      <c r="C137" s="43">
        <f>'19_20 District Budget-3'!N186</f>
        <v>0</v>
      </c>
      <c r="D137" s="43">
        <f>'PCFP-All Expense AA-1 Modif-3'!J122</f>
        <v>0</v>
      </c>
      <c r="E137" s="43"/>
      <c r="F137" s="12"/>
    </row>
    <row r="138" spans="2:6" hidden="1" x14ac:dyDescent="0.2">
      <c r="B138" t="s">
        <v>240</v>
      </c>
      <c r="C138" s="43">
        <f>'19_20 District Budget-3'!N187</f>
        <v>0</v>
      </c>
      <c r="D138" s="43">
        <f>'PCFP-All Expense AA-1 Modif-3'!J123</f>
        <v>0</v>
      </c>
      <c r="E138" s="43"/>
      <c r="F138" s="12"/>
    </row>
    <row r="139" spans="2:6" hidden="1" x14ac:dyDescent="0.2">
      <c r="B139" t="s">
        <v>241</v>
      </c>
      <c r="C139" s="43">
        <f>'19_20 District Budget-3'!N188</f>
        <v>0</v>
      </c>
      <c r="D139" s="43">
        <f>'PCFP-All Expense AA-1 Modif-3'!J124</f>
        <v>0</v>
      </c>
      <c r="E139" s="43"/>
      <c r="F139" s="12"/>
    </row>
    <row r="140" spans="2:6" hidden="1" x14ac:dyDescent="0.2">
      <c r="B140" t="s">
        <v>242</v>
      </c>
      <c r="C140" s="43">
        <f>'19_20 District Budget-3'!N189</f>
        <v>0</v>
      </c>
      <c r="D140" s="43">
        <f>'PCFP-All Expense AA-1 Modif-3'!J125</f>
        <v>0</v>
      </c>
      <c r="E140" s="43"/>
      <c r="F140" s="12"/>
    </row>
    <row r="141" spans="2:6" hidden="1" x14ac:dyDescent="0.2">
      <c r="B141" t="s">
        <v>243</v>
      </c>
      <c r="C141" s="43">
        <f>'19_20 District Budget-3'!N190</f>
        <v>0</v>
      </c>
      <c r="D141" s="43">
        <f>'PCFP-All Expense AA-1 Modif-3'!J126</f>
        <v>0</v>
      </c>
      <c r="E141" s="43"/>
      <c r="F141" s="12"/>
    </row>
    <row r="142" spans="2:6" hidden="1" x14ac:dyDescent="0.2">
      <c r="B142" t="s">
        <v>244</v>
      </c>
      <c r="C142" s="43">
        <f>'19_20 District Budget-3'!N191</f>
        <v>0</v>
      </c>
      <c r="D142" s="43">
        <f>'PCFP-All Expense AA-1 Modif-3'!J127</f>
        <v>0</v>
      </c>
      <c r="E142" s="43"/>
      <c r="F142" s="12"/>
    </row>
    <row r="143" spans="2:6" hidden="1" x14ac:dyDescent="0.2">
      <c r="B143" s="2" t="s">
        <v>245</v>
      </c>
      <c r="C143" s="43"/>
      <c r="D143" s="43">
        <f>'PCFP-All Expense AA-1 Modif-3'!J128</f>
        <v>0</v>
      </c>
      <c r="E143" s="43"/>
      <c r="F143" s="12"/>
    </row>
    <row r="144" spans="2:6" hidden="1" x14ac:dyDescent="0.2">
      <c r="B144" t="s">
        <v>246</v>
      </c>
      <c r="C144" s="43">
        <f>'19_20 District Budget-3'!N193</f>
        <v>0</v>
      </c>
      <c r="D144" s="43">
        <f>'PCFP-All Expense AA-1 Modif-3'!J129</f>
        <v>0</v>
      </c>
      <c r="E144" s="43"/>
      <c r="F144" s="12"/>
    </row>
    <row r="145" spans="2:7" hidden="1" x14ac:dyDescent="0.2">
      <c r="B145" t="s">
        <v>247</v>
      </c>
      <c r="C145" s="43">
        <f>'19_20 District Budget-3'!N194</f>
        <v>0</v>
      </c>
      <c r="D145" s="43">
        <f>'PCFP-All Expense AA-1 Modif-3'!J130</f>
        <v>220493079</v>
      </c>
      <c r="E145" s="43"/>
      <c r="F145" s="12"/>
    </row>
    <row r="146" spans="2:7" hidden="1" x14ac:dyDescent="0.2">
      <c r="B146" t="s">
        <v>248</v>
      </c>
      <c r="C146" s="43">
        <f>'19_20 District Budget-3'!N195</f>
        <v>0</v>
      </c>
      <c r="D146" s="43">
        <f>'PCFP-All Expense AA-1 Modif-3'!J131</f>
        <v>0</v>
      </c>
      <c r="E146" s="43"/>
      <c r="F146" s="12"/>
    </row>
    <row r="147" spans="2:7" hidden="1" x14ac:dyDescent="0.2">
      <c r="B147" t="s">
        <v>249</v>
      </c>
      <c r="C147" s="43">
        <f>'19_20 District Budget-3'!N196</f>
        <v>0</v>
      </c>
      <c r="D147" s="43">
        <f>'PCFP-All Expense AA-1 Modif-3'!J132</f>
        <v>0</v>
      </c>
      <c r="E147" s="43"/>
      <c r="F147" s="12"/>
    </row>
    <row r="148" spans="2:7" hidden="1" x14ac:dyDescent="0.2">
      <c r="B148" t="s">
        <v>250</v>
      </c>
      <c r="C148" s="43">
        <f>'19_20 District Budget-3'!N197</f>
        <v>0</v>
      </c>
      <c r="D148" s="43">
        <f>'PCFP-All Expense AA-1 Modif-3'!J133</f>
        <v>0</v>
      </c>
      <c r="E148" s="43"/>
      <c r="F148" s="12"/>
    </row>
    <row r="149" spans="2:7" hidden="1" x14ac:dyDescent="0.2">
      <c r="B149" t="s">
        <v>251</v>
      </c>
      <c r="C149" s="43">
        <f>'19_20 District Budget-3'!N198</f>
        <v>0</v>
      </c>
      <c r="D149" s="43">
        <f>'PCFP-All Expense AA-1 Modif-3'!J134</f>
        <v>0</v>
      </c>
      <c r="E149" s="43"/>
      <c r="F149" s="12"/>
    </row>
    <row r="150" spans="2:7" hidden="1" x14ac:dyDescent="0.2">
      <c r="B150" t="s">
        <v>252</v>
      </c>
      <c r="C150" s="43">
        <f>'19_20 District Budget-3'!N199</f>
        <v>0</v>
      </c>
      <c r="D150" s="43">
        <f>'PCFP-All Expense AA-1 Modif-3'!J135</f>
        <v>0</v>
      </c>
      <c r="E150" s="43"/>
      <c r="F150" s="12"/>
    </row>
    <row r="151" spans="2:7" hidden="1" x14ac:dyDescent="0.2">
      <c r="B151" t="s">
        <v>253</v>
      </c>
      <c r="C151" s="43">
        <f>'19_20 District Budget-3'!N200</f>
        <v>34819062</v>
      </c>
      <c r="D151" s="43">
        <f>'PCFP-All Expense AA-1 Modif-3'!J136</f>
        <v>0</v>
      </c>
      <c r="E151" s="43"/>
      <c r="F151" s="12"/>
    </row>
    <row r="152" spans="2:7" hidden="1" x14ac:dyDescent="0.2">
      <c r="B152" t="s">
        <v>254</v>
      </c>
      <c r="C152" s="43">
        <f>'19_20 District Budget-3'!N201</f>
        <v>0</v>
      </c>
      <c r="D152" s="43">
        <f>'PCFP-All Expense AA-1 Modif-3'!J137</f>
        <v>0</v>
      </c>
      <c r="E152" s="43"/>
      <c r="F152" s="12"/>
    </row>
    <row r="153" spans="2:7" hidden="1" x14ac:dyDescent="0.2">
      <c r="B153" t="s">
        <v>255</v>
      </c>
      <c r="C153" s="43">
        <f>'19_20 District Budget-3'!N202</f>
        <v>0</v>
      </c>
      <c r="D153" s="43">
        <f>'PCFP-All Expense AA-1 Modif-3'!J138</f>
        <v>2659456</v>
      </c>
      <c r="E153" s="43"/>
      <c r="F153" s="12"/>
    </row>
    <row r="154" spans="2:7" hidden="1" x14ac:dyDescent="0.2">
      <c r="B154" t="s">
        <v>256</v>
      </c>
      <c r="C154" s="43">
        <f>'19_20 District Budget-3'!N203</f>
        <v>0</v>
      </c>
      <c r="D154" s="43">
        <f>'PCFP-All Expense AA-1 Modif-3'!J139</f>
        <v>0</v>
      </c>
      <c r="E154" s="43"/>
      <c r="F154" s="12"/>
    </row>
    <row r="155" spans="2:7" hidden="1" x14ac:dyDescent="0.2">
      <c r="B155" t="s">
        <v>257</v>
      </c>
      <c r="C155" s="43">
        <f>'19_20 District Budget-3'!N204</f>
        <v>0</v>
      </c>
      <c r="D155" s="43">
        <f>'PCFP-All Expense AA-1 Modif-3'!J140</f>
        <v>0</v>
      </c>
      <c r="E155" s="43"/>
      <c r="F155" s="12"/>
    </row>
    <row r="156" spans="2:7" hidden="1" x14ac:dyDescent="0.2">
      <c r="B156" t="s">
        <v>258</v>
      </c>
      <c r="C156" s="43">
        <f>'19_20 District Budget-3'!N205</f>
        <v>0</v>
      </c>
      <c r="D156" s="43">
        <f>'PCFP-All Expense AA-1 Modif-3'!J141</f>
        <v>0</v>
      </c>
      <c r="E156" s="43"/>
      <c r="F156" s="12"/>
    </row>
    <row r="157" spans="2:7" hidden="1" x14ac:dyDescent="0.2">
      <c r="B157" t="s">
        <v>259</v>
      </c>
      <c r="C157" s="43">
        <f>'19_20 District Budget-3'!N206</f>
        <v>0</v>
      </c>
      <c r="D157" s="43">
        <f>'PCFP-All Expense AA-1 Modif-3'!J142</f>
        <v>0</v>
      </c>
      <c r="E157" s="43"/>
      <c r="F157" s="12"/>
    </row>
    <row r="158" spans="2:7" hidden="1" x14ac:dyDescent="0.2">
      <c r="B158" t="s">
        <v>260</v>
      </c>
      <c r="C158" s="43">
        <f>'19_20 District Budget-3'!N207</f>
        <v>0</v>
      </c>
      <c r="D158" s="43">
        <f>'PCFP-All Expense AA-1 Modif-3'!J143</f>
        <v>42896468</v>
      </c>
      <c r="E158" s="43"/>
      <c r="F158" s="12"/>
      <c r="G158" s="17"/>
    </row>
    <row r="159" spans="2:7" hidden="1" x14ac:dyDescent="0.2">
      <c r="B159" t="str">
        <f>'PCFP-All Expense AA-1 Modif-3'!B146</f>
        <v>Less:  Interfund Transfers</v>
      </c>
      <c r="C159" s="43">
        <v>0</v>
      </c>
      <c r="D159" s="43">
        <f>'PCFP-All Expense AA-1 Modif-3'!J146</f>
        <v>-564590406</v>
      </c>
      <c r="E159" s="43"/>
      <c r="F159" s="12"/>
      <c r="G159" s="17"/>
    </row>
    <row r="160" spans="2:7" x14ac:dyDescent="0.2">
      <c r="G160" s="17"/>
    </row>
  </sheetData>
  <pageMargins left="0.7" right="0.7" top="0.75" bottom="0.75" header="0.3" footer="0.3"/>
  <pageSetup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A1B7-B68C-49D1-B84E-A95F2D77563C}">
  <dimension ref="A1:Q208"/>
  <sheetViews>
    <sheetView showGridLines="0" zoomScale="70" zoomScaleNormal="70" workbookViewId="0">
      <pane xSplit="2" ySplit="3" topLeftCell="C12" activePane="bottomRight" state="frozen"/>
      <selection activeCell="F36" sqref="F36"/>
      <selection pane="topRight" activeCell="F36" sqref="F36"/>
      <selection pane="bottomLeft" activeCell="F36" sqref="F36"/>
      <selection pane="bottomRight" activeCell="O5" sqref="N5:O65"/>
    </sheetView>
  </sheetViews>
  <sheetFormatPr defaultRowHeight="12.75" x14ac:dyDescent="0.2"/>
  <cols>
    <col min="1" max="1" width="7.42578125" style="2" bestFit="1" customWidth="1"/>
    <col min="2" max="2" width="41.140625" bestFit="1" customWidth="1"/>
    <col min="3" max="3" width="23.28515625" style="12" bestFit="1" customWidth="1"/>
    <col min="4" max="4" width="21.28515625" style="12" bestFit="1" customWidth="1"/>
    <col min="5" max="5" width="20.85546875" style="12" bestFit="1" customWidth="1"/>
    <col min="6" max="6" width="19" style="12" bestFit="1" customWidth="1"/>
    <col min="7" max="7" width="22.85546875" style="12" bestFit="1" customWidth="1"/>
    <col min="8" max="8" width="21.28515625" style="12" bestFit="1" customWidth="1"/>
    <col min="9" max="10" width="20.42578125" style="12" bestFit="1" customWidth="1"/>
    <col min="11" max="11" width="21.28515625" style="12" bestFit="1" customWidth="1"/>
    <col min="12" max="12" width="19.85546875" style="12" bestFit="1" customWidth="1"/>
    <col min="13" max="13" width="22" style="12" bestFit="1" customWidth="1"/>
    <col min="14" max="14" width="34" bestFit="1" customWidth="1"/>
    <col min="15" max="15" width="20.42578125" bestFit="1" customWidth="1"/>
    <col min="16" max="16" width="18.42578125" hidden="1" customWidth="1"/>
    <col min="17" max="17" width="35" hidden="1" customWidth="1"/>
  </cols>
  <sheetData>
    <row r="1" spans="1:17" s="8" customFormat="1" ht="18" x14ac:dyDescent="0.25">
      <c r="A1" s="6"/>
      <c r="B1" s="9" t="s">
        <v>261</v>
      </c>
      <c r="C1" s="10" t="s">
        <v>544</v>
      </c>
      <c r="D1" s="10" t="s">
        <v>119</v>
      </c>
      <c r="E1" s="332" t="s">
        <v>262</v>
      </c>
      <c r="F1" s="333">
        <v>5549638645</v>
      </c>
      <c r="H1" s="10"/>
      <c r="J1" s="10"/>
      <c r="K1" s="10"/>
      <c r="L1" s="10"/>
      <c r="M1" s="10"/>
    </row>
    <row r="3" spans="1:17" s="15" customFormat="1" ht="25.5" x14ac:dyDescent="0.2">
      <c r="A3" s="13"/>
      <c r="B3" s="13" t="s">
        <v>120</v>
      </c>
      <c r="C3" s="14" t="s">
        <v>263</v>
      </c>
      <c r="D3" s="14" t="s">
        <v>9</v>
      </c>
      <c r="E3" s="14" t="s">
        <v>173</v>
      </c>
      <c r="F3" s="14" t="s">
        <v>185</v>
      </c>
      <c r="G3" s="14" t="s">
        <v>188</v>
      </c>
      <c r="H3" s="14" t="s">
        <v>205</v>
      </c>
      <c r="I3" s="14" t="s">
        <v>235</v>
      </c>
      <c r="J3" s="14" t="s">
        <v>237</v>
      </c>
      <c r="K3" s="14" t="s">
        <v>206</v>
      </c>
      <c r="L3" s="14" t="s">
        <v>549</v>
      </c>
      <c r="M3" s="14" t="s">
        <v>272</v>
      </c>
      <c r="N3" s="14" t="s">
        <v>273</v>
      </c>
    </row>
    <row r="4" spans="1:17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P4" s="290">
        <f>SUM(P5:P10)</f>
        <v>1702523000</v>
      </c>
    </row>
    <row r="5" spans="1:17" s="291" customFormat="1" x14ac:dyDescent="0.2">
      <c r="B5" s="932" t="s">
        <v>274</v>
      </c>
      <c r="C5" s="935">
        <v>521222000</v>
      </c>
      <c r="D5" s="935">
        <v>0</v>
      </c>
      <c r="E5" s="935">
        <v>393700000</v>
      </c>
      <c r="F5" s="935">
        <v>0</v>
      </c>
      <c r="G5" s="935">
        <v>0</v>
      </c>
      <c r="H5" s="935">
        <v>0</v>
      </c>
      <c r="I5" s="935">
        <v>0</v>
      </c>
      <c r="J5" s="935">
        <v>0</v>
      </c>
      <c r="K5" s="935">
        <v>0</v>
      </c>
      <c r="L5" s="935">
        <v>0</v>
      </c>
      <c r="M5" s="935">
        <v>0</v>
      </c>
      <c r="N5" s="935" t="str">
        <f t="shared" ref="N5:N25" si="0">B5</f>
        <v>Property Taxes</v>
      </c>
      <c r="O5" s="939">
        <f>SUM(C5:M5)</f>
        <v>914922000</v>
      </c>
      <c r="P5" s="293">
        <f>O5-E5</f>
        <v>521222000</v>
      </c>
      <c r="Q5" s="292" t="s">
        <v>275</v>
      </c>
    </row>
    <row r="6" spans="1:17" s="291" customFormat="1" x14ac:dyDescent="0.2">
      <c r="B6" s="932" t="s">
        <v>474</v>
      </c>
      <c r="C6" s="935">
        <v>21000</v>
      </c>
      <c r="D6" s="935">
        <v>0</v>
      </c>
      <c r="E6" s="935">
        <v>0</v>
      </c>
      <c r="F6" s="935">
        <v>0</v>
      </c>
      <c r="G6" s="935">
        <v>0</v>
      </c>
      <c r="H6" s="935">
        <v>0</v>
      </c>
      <c r="I6" s="935">
        <v>0</v>
      </c>
      <c r="J6" s="935">
        <v>0</v>
      </c>
      <c r="K6" s="935">
        <v>0</v>
      </c>
      <c r="L6" s="935">
        <v>0</v>
      </c>
      <c r="M6" s="935">
        <v>0</v>
      </c>
      <c r="N6" s="935" t="str">
        <f t="shared" si="0"/>
        <v>Net Proceeds from Mines</v>
      </c>
      <c r="O6" s="939">
        <f t="shared" ref="O6:O25" si="1">SUM(C6:M6)</f>
        <v>21000</v>
      </c>
      <c r="P6" s="293">
        <f>O6-E6</f>
        <v>21000</v>
      </c>
      <c r="Q6" s="292" t="s">
        <v>473</v>
      </c>
    </row>
    <row r="7" spans="1:17" s="37" customFormat="1" x14ac:dyDescent="0.2">
      <c r="B7" s="3" t="s">
        <v>276</v>
      </c>
      <c r="C7" s="935">
        <v>1100530000</v>
      </c>
      <c r="D7" s="935">
        <v>0</v>
      </c>
      <c r="E7" s="935">
        <v>0</v>
      </c>
      <c r="F7" s="935">
        <v>0</v>
      </c>
      <c r="G7" s="935">
        <v>0</v>
      </c>
      <c r="H7" s="935">
        <v>0</v>
      </c>
      <c r="I7" s="935">
        <v>0</v>
      </c>
      <c r="J7" s="935">
        <v>0</v>
      </c>
      <c r="K7" s="935">
        <v>0</v>
      </c>
      <c r="L7" s="935">
        <v>0</v>
      </c>
      <c r="M7" s="935">
        <v>0</v>
      </c>
      <c r="N7" s="935" t="str">
        <f t="shared" si="0"/>
        <v>School Support Taxes</v>
      </c>
      <c r="O7" s="939">
        <f t="shared" si="1"/>
        <v>1100530000</v>
      </c>
      <c r="P7" s="38">
        <f>O7-E7</f>
        <v>1100530000</v>
      </c>
      <c r="Q7" s="37" t="s">
        <v>275</v>
      </c>
    </row>
    <row r="8" spans="1:17" s="37" customFormat="1" x14ac:dyDescent="0.2">
      <c r="B8" s="3" t="s">
        <v>550</v>
      </c>
      <c r="C8" s="935">
        <v>0</v>
      </c>
      <c r="D8" s="935">
        <v>0</v>
      </c>
      <c r="E8" s="935">
        <v>0</v>
      </c>
      <c r="F8" s="935">
        <v>0</v>
      </c>
      <c r="G8" s="935">
        <v>96800000</v>
      </c>
      <c r="H8" s="935">
        <v>0</v>
      </c>
      <c r="I8" s="935">
        <v>0</v>
      </c>
      <c r="J8" s="935">
        <v>0</v>
      </c>
      <c r="K8" s="935">
        <v>0</v>
      </c>
      <c r="L8" s="935">
        <v>0</v>
      </c>
      <c r="M8" s="935">
        <v>0</v>
      </c>
      <c r="N8" s="935" t="str">
        <f t="shared" si="0"/>
        <v>Room Tax</v>
      </c>
      <c r="O8" s="939">
        <f t="shared" si="1"/>
        <v>96800000</v>
      </c>
      <c r="P8" s="38">
        <f>O8-G8</f>
        <v>0</v>
      </c>
      <c r="Q8" s="37" t="s">
        <v>275</v>
      </c>
    </row>
    <row r="9" spans="1:17" s="37" customFormat="1" x14ac:dyDescent="0.2">
      <c r="B9" s="3" t="s">
        <v>277</v>
      </c>
      <c r="C9" s="935">
        <v>4360000</v>
      </c>
      <c r="D9" s="935">
        <v>0</v>
      </c>
      <c r="E9" s="935">
        <v>0</v>
      </c>
      <c r="F9" s="935">
        <v>0</v>
      </c>
      <c r="G9" s="935">
        <v>0</v>
      </c>
      <c r="H9" s="935">
        <v>0</v>
      </c>
      <c r="I9" s="935">
        <v>0</v>
      </c>
      <c r="J9" s="935">
        <v>0</v>
      </c>
      <c r="K9" s="935">
        <v>0</v>
      </c>
      <c r="L9" s="935">
        <v>0</v>
      </c>
      <c r="M9" s="935">
        <v>0</v>
      </c>
      <c r="N9" s="935" t="str">
        <f t="shared" si="0"/>
        <v>Franchise Taxes</v>
      </c>
      <c r="O9" s="939">
        <f t="shared" si="1"/>
        <v>4360000</v>
      </c>
      <c r="P9" s="38">
        <f>O9</f>
        <v>4360000</v>
      </c>
      <c r="Q9" s="37" t="s">
        <v>275</v>
      </c>
    </row>
    <row r="10" spans="1:17" s="37" customFormat="1" x14ac:dyDescent="0.2">
      <c r="B10" s="3" t="s">
        <v>278</v>
      </c>
      <c r="C10" s="935">
        <v>76390000</v>
      </c>
      <c r="D10" s="935">
        <v>0</v>
      </c>
      <c r="E10" s="935">
        <v>0</v>
      </c>
      <c r="F10" s="935">
        <v>0</v>
      </c>
      <c r="G10" s="935">
        <v>35765826</v>
      </c>
      <c r="H10" s="935">
        <v>0</v>
      </c>
      <c r="I10" s="935">
        <v>0</v>
      </c>
      <c r="J10" s="935">
        <v>0</v>
      </c>
      <c r="K10" s="935">
        <v>0</v>
      </c>
      <c r="L10" s="935">
        <v>0</v>
      </c>
      <c r="M10" s="935">
        <v>0</v>
      </c>
      <c r="N10" s="935" t="str">
        <f t="shared" si="0"/>
        <v>Governmental Services Tax</v>
      </c>
      <c r="O10" s="939">
        <f t="shared" si="1"/>
        <v>112155826</v>
      </c>
      <c r="P10" s="38">
        <f>O10-E10-G10</f>
        <v>76390000</v>
      </c>
      <c r="Q10" s="37" t="s">
        <v>279</v>
      </c>
    </row>
    <row r="11" spans="1:17" s="37" customFormat="1" x14ac:dyDescent="0.2">
      <c r="B11" s="3" t="s">
        <v>338</v>
      </c>
      <c r="C11" s="935">
        <v>1370000</v>
      </c>
      <c r="D11" s="935">
        <v>0</v>
      </c>
      <c r="E11" s="935">
        <f>125000+7926300</f>
        <v>8051300</v>
      </c>
      <c r="F11" s="935">
        <v>0</v>
      </c>
      <c r="G11" s="935">
        <v>0</v>
      </c>
      <c r="H11" s="935">
        <v>0</v>
      </c>
      <c r="I11" s="935">
        <v>0</v>
      </c>
      <c r="J11" s="935">
        <v>0</v>
      </c>
      <c r="K11" s="935">
        <v>0</v>
      </c>
      <c r="L11" s="935">
        <v>0</v>
      </c>
      <c r="M11" s="935">
        <v>0</v>
      </c>
      <c r="N11" s="935" t="str">
        <f t="shared" si="0"/>
        <v>Other Taxes</v>
      </c>
      <c r="O11" s="939">
        <f t="shared" si="1"/>
        <v>9421300</v>
      </c>
    </row>
    <row r="12" spans="1:17" s="37" customFormat="1" x14ac:dyDescent="0.2">
      <c r="B12" s="3" t="s">
        <v>551</v>
      </c>
      <c r="C12" s="935">
        <v>0</v>
      </c>
      <c r="D12" s="935">
        <v>0</v>
      </c>
      <c r="E12" s="935">
        <v>0</v>
      </c>
      <c r="F12" s="935">
        <v>0</v>
      </c>
      <c r="G12" s="935">
        <v>38600000</v>
      </c>
      <c r="H12" s="935">
        <v>0</v>
      </c>
      <c r="I12" s="935">
        <v>0</v>
      </c>
      <c r="J12" s="935">
        <v>0</v>
      </c>
      <c r="K12" s="935">
        <v>0</v>
      </c>
      <c r="L12" s="935">
        <v>0</v>
      </c>
      <c r="M12" s="935">
        <v>0</v>
      </c>
      <c r="N12" s="935" t="str">
        <f>B12</f>
        <v>Real Estate Transfer Tax</v>
      </c>
      <c r="O12" s="939">
        <f t="shared" ref="O12" si="2">SUM(C12:M12)</f>
        <v>38600000</v>
      </c>
    </row>
    <row r="13" spans="1:17" s="37" customFormat="1" hidden="1" x14ac:dyDescent="0.2">
      <c r="B13" s="3" t="s">
        <v>281</v>
      </c>
      <c r="C13" s="935">
        <v>0</v>
      </c>
      <c r="D13" s="935">
        <v>0</v>
      </c>
      <c r="E13" s="935">
        <v>0</v>
      </c>
      <c r="F13" s="935">
        <v>0</v>
      </c>
      <c r="G13" s="935">
        <v>0</v>
      </c>
      <c r="H13" s="935">
        <v>0</v>
      </c>
      <c r="I13" s="935">
        <v>0</v>
      </c>
      <c r="J13" s="935">
        <v>0</v>
      </c>
      <c r="K13" s="935">
        <v>0</v>
      </c>
      <c r="L13" s="935">
        <v>0</v>
      </c>
      <c r="M13" s="935">
        <v>0</v>
      </c>
      <c r="N13" s="935" t="str">
        <f t="shared" si="0"/>
        <v>Boat Registration</v>
      </c>
      <c r="O13" s="939">
        <f t="shared" si="1"/>
        <v>0</v>
      </c>
    </row>
    <row r="14" spans="1:17" s="37" customFormat="1" hidden="1" x14ac:dyDescent="0.2">
      <c r="B14" s="3" t="s">
        <v>227</v>
      </c>
      <c r="C14" s="935">
        <v>0</v>
      </c>
      <c r="D14" s="935">
        <v>0</v>
      </c>
      <c r="E14" s="935">
        <v>0</v>
      </c>
      <c r="F14" s="935">
        <v>0</v>
      </c>
      <c r="G14" s="935">
        <v>0</v>
      </c>
      <c r="H14" s="935">
        <v>0</v>
      </c>
      <c r="I14" s="935">
        <v>0</v>
      </c>
      <c r="J14" s="935">
        <v>0</v>
      </c>
      <c r="K14" s="935">
        <v>0</v>
      </c>
      <c r="L14" s="935">
        <v>0</v>
      </c>
      <c r="M14" s="935">
        <v>0</v>
      </c>
      <c r="N14" s="935" t="str">
        <f t="shared" si="0"/>
        <v>Residential Construction Tax</v>
      </c>
      <c r="O14" s="939">
        <f t="shared" si="1"/>
        <v>0</v>
      </c>
    </row>
    <row r="15" spans="1:17" s="37" customFormat="1" x14ac:dyDescent="0.2">
      <c r="B15" s="3" t="s">
        <v>282</v>
      </c>
      <c r="C15" s="935">
        <v>2820000</v>
      </c>
      <c r="D15" s="935">
        <v>0</v>
      </c>
      <c r="E15" s="935">
        <v>0</v>
      </c>
      <c r="F15" s="935">
        <v>0</v>
      </c>
      <c r="G15" s="935">
        <v>0</v>
      </c>
      <c r="H15" s="935">
        <v>0</v>
      </c>
      <c r="I15" s="935">
        <v>0</v>
      </c>
      <c r="J15" s="935">
        <v>0</v>
      </c>
      <c r="K15" s="935">
        <v>0</v>
      </c>
      <c r="L15" s="935">
        <v>0</v>
      </c>
      <c r="M15" s="935">
        <v>0</v>
      </c>
      <c r="N15" s="935" t="str">
        <f t="shared" si="0"/>
        <v>Tuition</v>
      </c>
      <c r="O15" s="939">
        <f t="shared" si="1"/>
        <v>2820000</v>
      </c>
    </row>
    <row r="16" spans="1:17" s="37" customFormat="1" hidden="1" x14ac:dyDescent="0.2">
      <c r="B16" s="3" t="s">
        <v>143</v>
      </c>
      <c r="C16" s="935">
        <v>0</v>
      </c>
      <c r="D16" s="935">
        <v>0</v>
      </c>
      <c r="E16" s="935">
        <v>0</v>
      </c>
      <c r="F16" s="935">
        <v>0</v>
      </c>
      <c r="G16" s="935">
        <v>0</v>
      </c>
      <c r="H16" s="935">
        <v>0</v>
      </c>
      <c r="I16" s="935">
        <v>0</v>
      </c>
      <c r="J16" s="935">
        <v>0</v>
      </c>
      <c r="K16" s="935">
        <v>0</v>
      </c>
      <c r="L16" s="935">
        <v>0</v>
      </c>
      <c r="M16" s="935">
        <v>0</v>
      </c>
      <c r="N16" s="935" t="str">
        <f t="shared" si="0"/>
        <v>Summer School</v>
      </c>
      <c r="O16" s="939">
        <f t="shared" si="1"/>
        <v>0</v>
      </c>
    </row>
    <row r="17" spans="1:15" s="37" customFormat="1" x14ac:dyDescent="0.2">
      <c r="B17" s="3" t="s">
        <v>283</v>
      </c>
      <c r="C17" s="935">
        <v>360000</v>
      </c>
      <c r="D17" s="935">
        <v>0</v>
      </c>
      <c r="E17" s="935">
        <v>0</v>
      </c>
      <c r="F17" s="935">
        <v>0</v>
      </c>
      <c r="G17" s="935">
        <v>0</v>
      </c>
      <c r="H17" s="935">
        <v>0</v>
      </c>
      <c r="I17" s="935">
        <v>0</v>
      </c>
      <c r="J17" s="935">
        <v>0</v>
      </c>
      <c r="K17" s="935">
        <v>0</v>
      </c>
      <c r="L17" s="935">
        <v>0</v>
      </c>
      <c r="M17" s="935">
        <v>0</v>
      </c>
      <c r="N17" s="935" t="str">
        <f t="shared" si="0"/>
        <v>Transportation Fees</v>
      </c>
      <c r="O17" s="939">
        <f t="shared" si="1"/>
        <v>360000</v>
      </c>
    </row>
    <row r="18" spans="1:15" s="37" customFormat="1" x14ac:dyDescent="0.2">
      <c r="B18" s="3" t="s">
        <v>284</v>
      </c>
      <c r="C18" s="935">
        <v>3660000</v>
      </c>
      <c r="D18" s="935">
        <v>0</v>
      </c>
      <c r="E18" s="935">
        <v>3000000</v>
      </c>
      <c r="F18" s="935">
        <v>165000</v>
      </c>
      <c r="G18" s="935">
        <v>8700000</v>
      </c>
      <c r="H18" s="935">
        <v>0</v>
      </c>
      <c r="I18" s="935">
        <v>50000</v>
      </c>
      <c r="J18" s="935">
        <v>0</v>
      </c>
      <c r="K18" s="935">
        <v>1500000</v>
      </c>
      <c r="L18" s="935">
        <v>830000</v>
      </c>
      <c r="M18" s="935">
        <v>0</v>
      </c>
      <c r="N18" s="935" t="str">
        <f t="shared" si="0"/>
        <v>Earnings on Investments</v>
      </c>
      <c r="O18" s="939">
        <f t="shared" si="1"/>
        <v>17905000</v>
      </c>
    </row>
    <row r="19" spans="1:15" s="37" customFormat="1" x14ac:dyDescent="0.2">
      <c r="B19" s="3" t="s">
        <v>552</v>
      </c>
      <c r="C19" s="935">
        <v>1140000</v>
      </c>
      <c r="D19" s="935">
        <v>0</v>
      </c>
      <c r="E19" s="935">
        <v>0</v>
      </c>
      <c r="F19" s="935">
        <v>0</v>
      </c>
      <c r="G19" s="935">
        <v>0</v>
      </c>
      <c r="H19" s="935">
        <v>0</v>
      </c>
      <c r="I19" s="935">
        <v>82000000</v>
      </c>
      <c r="J19" s="935">
        <v>0</v>
      </c>
      <c r="K19" s="935">
        <v>0</v>
      </c>
      <c r="L19" s="935">
        <v>0</v>
      </c>
      <c r="M19" s="935">
        <v>0</v>
      </c>
      <c r="N19" s="935" t="str">
        <f t="shared" si="0"/>
        <v>Direct District Activities Revenue</v>
      </c>
      <c r="O19" s="939">
        <f t="shared" si="1"/>
        <v>83140000</v>
      </c>
    </row>
    <row r="20" spans="1:15" s="37" customFormat="1" x14ac:dyDescent="0.2">
      <c r="B20" s="3" t="s">
        <v>286</v>
      </c>
      <c r="C20" s="935">
        <v>0</v>
      </c>
      <c r="D20" s="935">
        <v>0</v>
      </c>
      <c r="E20" s="935">
        <v>0</v>
      </c>
      <c r="F20" s="935">
        <v>0</v>
      </c>
      <c r="G20" s="935">
        <v>0</v>
      </c>
      <c r="H20" s="935">
        <v>0</v>
      </c>
      <c r="I20" s="935">
        <v>0</v>
      </c>
      <c r="J20" s="935">
        <v>0</v>
      </c>
      <c r="K20" s="935">
        <v>10500000</v>
      </c>
      <c r="L20" s="935">
        <v>0</v>
      </c>
      <c r="M20" s="935">
        <v>0</v>
      </c>
      <c r="N20" s="935" t="str">
        <f t="shared" si="0"/>
        <v>Daily Sales - Food Services</v>
      </c>
      <c r="O20" s="939">
        <f t="shared" si="1"/>
        <v>10500000</v>
      </c>
    </row>
    <row r="21" spans="1:15" s="37" customFormat="1" x14ac:dyDescent="0.2">
      <c r="A21" s="3">
        <v>1900</v>
      </c>
      <c r="B21" s="3" t="s">
        <v>280</v>
      </c>
      <c r="C21" s="935">
        <v>3840000</v>
      </c>
      <c r="D21" s="935">
        <v>0</v>
      </c>
      <c r="E21" s="935">
        <v>0</v>
      </c>
      <c r="F21" s="935">
        <v>0</v>
      </c>
      <c r="G21" s="935">
        <v>0</v>
      </c>
      <c r="H21" s="935">
        <v>0</v>
      </c>
      <c r="I21" s="935">
        <v>0</v>
      </c>
      <c r="J21" s="935">
        <v>0</v>
      </c>
      <c r="K21" s="935">
        <v>500000</v>
      </c>
      <c r="L21" s="935">
        <f>1900000+34522000+405000</f>
        <v>36827000</v>
      </c>
      <c r="M21" s="935">
        <v>0</v>
      </c>
      <c r="N21" s="935" t="str">
        <f t="shared" si="0"/>
        <v>Other Revenues</v>
      </c>
      <c r="O21" s="939">
        <f t="shared" si="1"/>
        <v>41167000</v>
      </c>
    </row>
    <row r="22" spans="1:15" s="37" customFormat="1" x14ac:dyDescent="0.2">
      <c r="B22" s="3" t="s">
        <v>287</v>
      </c>
      <c r="C22" s="935">
        <v>1640000</v>
      </c>
      <c r="D22" s="935">
        <v>0</v>
      </c>
      <c r="E22" s="935">
        <v>0</v>
      </c>
      <c r="F22" s="935">
        <v>9600</v>
      </c>
      <c r="G22" s="935">
        <v>0</v>
      </c>
      <c r="H22" s="935">
        <v>0</v>
      </c>
      <c r="I22" s="935">
        <v>1300000</v>
      </c>
      <c r="J22" s="935">
        <v>0</v>
      </c>
      <c r="K22" s="935">
        <v>0</v>
      </c>
      <c r="L22" s="935">
        <v>0</v>
      </c>
      <c r="M22" s="935">
        <v>0</v>
      </c>
      <c r="N22" s="935" t="str">
        <f t="shared" si="0"/>
        <v>Rentals</v>
      </c>
      <c r="O22" s="939">
        <f t="shared" si="1"/>
        <v>2949600</v>
      </c>
    </row>
    <row r="23" spans="1:15" s="37" customFormat="1" x14ac:dyDescent="0.2">
      <c r="B23" s="3" t="s">
        <v>288</v>
      </c>
      <c r="C23" s="935">
        <v>920000</v>
      </c>
      <c r="D23" s="935">
        <v>0</v>
      </c>
      <c r="E23" s="935">
        <v>0</v>
      </c>
      <c r="F23" s="935">
        <v>0</v>
      </c>
      <c r="G23" s="935">
        <v>0</v>
      </c>
      <c r="H23" s="935">
        <v>0</v>
      </c>
      <c r="I23" s="935">
        <v>7544944</v>
      </c>
      <c r="J23" s="935">
        <v>0</v>
      </c>
      <c r="K23" s="935">
        <v>0</v>
      </c>
      <c r="L23" s="935">
        <v>0</v>
      </c>
      <c r="M23" s="935">
        <v>0</v>
      </c>
      <c r="N23" s="935" t="str">
        <f t="shared" si="0"/>
        <v>Donations</v>
      </c>
      <c r="O23" s="939">
        <f t="shared" si="1"/>
        <v>8464944</v>
      </c>
    </row>
    <row r="24" spans="1:15" s="37" customFormat="1" x14ac:dyDescent="0.2">
      <c r="B24" s="3" t="s">
        <v>289</v>
      </c>
      <c r="C24" s="935">
        <v>8768000</v>
      </c>
      <c r="D24" s="935">
        <v>0</v>
      </c>
      <c r="E24" s="935">
        <v>0</v>
      </c>
      <c r="F24" s="935">
        <v>0</v>
      </c>
      <c r="G24" s="935">
        <v>0</v>
      </c>
      <c r="H24" s="935">
        <v>0</v>
      </c>
      <c r="I24" s="935">
        <v>1400000</v>
      </c>
      <c r="J24" s="935">
        <v>0</v>
      </c>
      <c r="K24" s="935">
        <v>0</v>
      </c>
      <c r="L24" s="935">
        <v>0</v>
      </c>
      <c r="M24" s="935">
        <v>0</v>
      </c>
      <c r="N24" s="935" t="str">
        <f t="shared" si="0"/>
        <v>Miscellaneous</v>
      </c>
      <c r="O24" s="939">
        <f t="shared" si="1"/>
        <v>10168000</v>
      </c>
    </row>
    <row r="25" spans="1:15" s="37" customFormat="1" x14ac:dyDescent="0.2">
      <c r="B25" s="3" t="s">
        <v>290</v>
      </c>
      <c r="C25" s="935">
        <v>0</v>
      </c>
      <c r="D25" s="935">
        <v>0</v>
      </c>
      <c r="E25" s="935">
        <v>0</v>
      </c>
      <c r="F25" s="935">
        <v>0</v>
      </c>
      <c r="G25" s="935">
        <v>0</v>
      </c>
      <c r="H25" s="935">
        <v>0</v>
      </c>
      <c r="I25" s="935">
        <v>0</v>
      </c>
      <c r="J25" s="935">
        <v>0</v>
      </c>
      <c r="K25" s="935">
        <v>0</v>
      </c>
      <c r="L25" s="935">
        <v>0</v>
      </c>
      <c r="M25" s="935">
        <v>0</v>
      </c>
      <c r="N25" s="935" t="str">
        <f t="shared" si="0"/>
        <v>Indirect Costs</v>
      </c>
      <c r="O25" s="939">
        <f t="shared" si="1"/>
        <v>0</v>
      </c>
    </row>
    <row r="26" spans="1:15" x14ac:dyDescent="0.2">
      <c r="B26" s="3"/>
      <c r="C26" s="935"/>
      <c r="D26" s="935"/>
      <c r="E26" s="935"/>
      <c r="F26" s="935"/>
      <c r="G26" s="935"/>
      <c r="H26" s="935"/>
      <c r="I26" s="935"/>
      <c r="J26" s="935"/>
      <c r="K26" s="935"/>
      <c r="L26" s="935"/>
      <c r="M26" s="935"/>
      <c r="N26" s="905"/>
      <c r="O26" s="905"/>
    </row>
    <row r="27" spans="1:15" s="2" customFormat="1" x14ac:dyDescent="0.2">
      <c r="B27" s="39" t="s">
        <v>124</v>
      </c>
      <c r="C27" s="931">
        <f t="shared" ref="C27:M27" si="3">SUM(C4:C26)</f>
        <v>1727041000</v>
      </c>
      <c r="D27" s="931">
        <f t="shared" si="3"/>
        <v>0</v>
      </c>
      <c r="E27" s="931">
        <f t="shared" si="3"/>
        <v>404751300</v>
      </c>
      <c r="F27" s="931">
        <f t="shared" si="3"/>
        <v>174600</v>
      </c>
      <c r="G27" s="931">
        <f t="shared" si="3"/>
        <v>179865826</v>
      </c>
      <c r="H27" s="931">
        <f t="shared" si="3"/>
        <v>0</v>
      </c>
      <c r="I27" s="931">
        <f t="shared" si="3"/>
        <v>92294944</v>
      </c>
      <c r="J27" s="931">
        <f t="shared" si="3"/>
        <v>0</v>
      </c>
      <c r="K27" s="931">
        <f t="shared" si="3"/>
        <v>12500000</v>
      </c>
      <c r="L27" s="931">
        <f t="shared" si="3"/>
        <v>37657000</v>
      </c>
      <c r="M27" s="931">
        <f t="shared" si="3"/>
        <v>0</v>
      </c>
      <c r="N27" s="930">
        <f>SUM(C27:M27)</f>
        <v>2454284670</v>
      </c>
      <c r="O27" s="903"/>
    </row>
    <row r="28" spans="1:15" s="2" customFormat="1" x14ac:dyDescent="0.2">
      <c r="B28" s="39"/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0"/>
      <c r="O28" s="903"/>
    </row>
    <row r="29" spans="1:15" x14ac:dyDescent="0.2">
      <c r="B29" s="3" t="s">
        <v>291</v>
      </c>
      <c r="C29" s="937">
        <v>577631000</v>
      </c>
      <c r="D29" s="937">
        <v>0</v>
      </c>
      <c r="E29" s="937">
        <v>0</v>
      </c>
      <c r="F29" s="937">
        <v>0</v>
      </c>
      <c r="G29" s="937">
        <v>0</v>
      </c>
      <c r="H29" s="937">
        <v>0</v>
      </c>
      <c r="I29" s="937">
        <v>0</v>
      </c>
      <c r="J29" s="937">
        <v>0</v>
      </c>
      <c r="K29" s="937">
        <v>0</v>
      </c>
      <c r="L29" s="937">
        <v>0</v>
      </c>
      <c r="M29" s="937">
        <v>0</v>
      </c>
      <c r="N29" s="938" t="str">
        <f t="shared" ref="N29:N38" si="4">B29</f>
        <v>Distributive School Fund (DSA)</v>
      </c>
      <c r="O29" s="938">
        <f t="shared" ref="O29:O38" si="5">SUM(C29:M29)</f>
        <v>577631000</v>
      </c>
    </row>
    <row r="30" spans="1:15" hidden="1" x14ac:dyDescent="0.2">
      <c r="B30" s="3" t="s">
        <v>292</v>
      </c>
      <c r="C30" s="937">
        <v>0</v>
      </c>
      <c r="D30" s="937">
        <v>0</v>
      </c>
      <c r="E30" s="937">
        <v>0</v>
      </c>
      <c r="F30" s="937">
        <v>0</v>
      </c>
      <c r="G30" s="937">
        <v>0</v>
      </c>
      <c r="H30" s="937">
        <v>0</v>
      </c>
      <c r="I30" s="937">
        <v>0</v>
      </c>
      <c r="J30" s="937">
        <v>0</v>
      </c>
      <c r="K30" s="937">
        <v>0</v>
      </c>
      <c r="L30" s="937">
        <v>0</v>
      </c>
      <c r="M30" s="937">
        <v>0</v>
      </c>
      <c r="N30" s="938" t="str">
        <f t="shared" si="4"/>
        <v>DSA Charter Reduction-Outside Revs</v>
      </c>
      <c r="O30" s="938">
        <f t="shared" si="5"/>
        <v>0</v>
      </c>
    </row>
    <row r="31" spans="1:15" x14ac:dyDescent="0.2">
      <c r="B31" s="3" t="s">
        <v>293</v>
      </c>
      <c r="C31" s="937">
        <v>0</v>
      </c>
      <c r="D31" s="937">
        <v>136680000</v>
      </c>
      <c r="E31" s="937">
        <v>0</v>
      </c>
      <c r="F31" s="937">
        <v>0</v>
      </c>
      <c r="G31" s="937">
        <v>0</v>
      </c>
      <c r="H31" s="937">
        <v>0</v>
      </c>
      <c r="I31" s="937">
        <v>0</v>
      </c>
      <c r="J31" s="937">
        <v>0</v>
      </c>
      <c r="K31" s="937">
        <v>0</v>
      </c>
      <c r="L31" s="937">
        <v>0</v>
      </c>
      <c r="M31" s="937">
        <v>0</v>
      </c>
      <c r="N31" s="938" t="str">
        <f t="shared" si="4"/>
        <v>Special Education - DSA Funding</v>
      </c>
      <c r="O31" s="938">
        <f t="shared" si="5"/>
        <v>136680000</v>
      </c>
    </row>
    <row r="32" spans="1:15" hidden="1" x14ac:dyDescent="0.2">
      <c r="B32" s="3" t="s">
        <v>475</v>
      </c>
      <c r="C32" s="937">
        <v>0</v>
      </c>
      <c r="D32" s="937">
        <v>0</v>
      </c>
      <c r="E32" s="937">
        <v>0</v>
      </c>
      <c r="F32" s="937">
        <v>0</v>
      </c>
      <c r="G32" s="937">
        <v>0</v>
      </c>
      <c r="H32" s="937">
        <v>0</v>
      </c>
      <c r="I32" s="937">
        <v>0</v>
      </c>
      <c r="J32" s="937">
        <v>0</v>
      </c>
      <c r="K32" s="937">
        <v>0</v>
      </c>
      <c r="L32" s="937">
        <v>0</v>
      </c>
      <c r="M32" s="937">
        <v>0</v>
      </c>
      <c r="N32" s="938" t="str">
        <f t="shared" si="4"/>
        <v>Counseling - DSA Funding</v>
      </c>
      <c r="O32" s="938">
        <f t="shared" si="5"/>
        <v>0</v>
      </c>
    </row>
    <row r="33" spans="1:15" x14ac:dyDescent="0.2">
      <c r="B33" s="3" t="s">
        <v>294</v>
      </c>
      <c r="C33" s="937">
        <v>0</v>
      </c>
      <c r="D33" s="937">
        <v>0</v>
      </c>
      <c r="E33" s="937">
        <v>0</v>
      </c>
      <c r="F33" s="937">
        <v>0</v>
      </c>
      <c r="G33" s="937">
        <v>0</v>
      </c>
      <c r="H33" s="937">
        <v>0</v>
      </c>
      <c r="I33" s="937">
        <v>0</v>
      </c>
      <c r="J33" s="937">
        <v>0</v>
      </c>
      <c r="K33" s="937">
        <v>475000</v>
      </c>
      <c r="L33" s="937">
        <v>0</v>
      </c>
      <c r="M33" s="937">
        <v>0</v>
      </c>
      <c r="N33" s="938" t="str">
        <f t="shared" si="4"/>
        <v>State Food Aid</v>
      </c>
      <c r="O33" s="938">
        <f t="shared" si="5"/>
        <v>475000</v>
      </c>
    </row>
    <row r="34" spans="1:15" x14ac:dyDescent="0.2">
      <c r="B34" s="3" t="s">
        <v>295</v>
      </c>
      <c r="C34" s="937">
        <v>0</v>
      </c>
      <c r="D34" s="937">
        <v>0</v>
      </c>
      <c r="E34" s="937">
        <v>0</v>
      </c>
      <c r="F34" s="937">
        <v>0</v>
      </c>
      <c r="G34" s="937">
        <v>0</v>
      </c>
      <c r="H34" s="937">
        <v>0</v>
      </c>
      <c r="I34" s="937">
        <v>1000000</v>
      </c>
      <c r="J34" s="937">
        <v>181674250</v>
      </c>
      <c r="K34" s="937">
        <v>0</v>
      </c>
      <c r="L34" s="937">
        <v>0</v>
      </c>
      <c r="M34" s="937">
        <v>0</v>
      </c>
      <c r="N34" s="938" t="str">
        <f t="shared" si="4"/>
        <v>Restricted Funding/Grants-in-aid rev</v>
      </c>
      <c r="O34" s="938">
        <f t="shared" si="5"/>
        <v>182674250</v>
      </c>
    </row>
    <row r="35" spans="1:15" hidden="1" x14ac:dyDescent="0.2">
      <c r="B35" s="3" t="s">
        <v>296</v>
      </c>
      <c r="C35" s="937">
        <v>0</v>
      </c>
      <c r="D35" s="937">
        <v>0</v>
      </c>
      <c r="E35" s="937">
        <v>0</v>
      </c>
      <c r="F35" s="937">
        <v>0</v>
      </c>
      <c r="G35" s="937">
        <v>0</v>
      </c>
      <c r="H35" s="937">
        <v>0</v>
      </c>
      <c r="I35" s="937">
        <v>0</v>
      </c>
      <c r="J35" s="937">
        <v>0</v>
      </c>
      <c r="K35" s="937">
        <v>0</v>
      </c>
      <c r="L35" s="937">
        <v>0</v>
      </c>
      <c r="M35" s="937">
        <v>0</v>
      </c>
      <c r="N35" s="938" t="str">
        <f t="shared" si="4"/>
        <v>Audult High School Diploma</v>
      </c>
      <c r="O35" s="938">
        <f t="shared" si="5"/>
        <v>0</v>
      </c>
    </row>
    <row r="36" spans="1:15" x14ac:dyDescent="0.2">
      <c r="B36" s="3" t="s">
        <v>553</v>
      </c>
      <c r="C36" s="937">
        <v>0</v>
      </c>
      <c r="D36" s="937">
        <v>0</v>
      </c>
      <c r="E36" s="937">
        <v>0</v>
      </c>
      <c r="F36" s="937">
        <v>0</v>
      </c>
      <c r="G36" s="937">
        <v>0</v>
      </c>
      <c r="H36" s="937">
        <v>0</v>
      </c>
      <c r="I36" s="937">
        <v>55891200</v>
      </c>
      <c r="J36" s="937">
        <v>0</v>
      </c>
      <c r="K36" s="937">
        <v>0</v>
      </c>
      <c r="L36" s="937">
        <v>0</v>
      </c>
      <c r="M36" s="937">
        <v>0</v>
      </c>
      <c r="N36" s="938" t="str">
        <f t="shared" si="4"/>
        <v>SB 178 NV Education Fund Plan</v>
      </c>
      <c r="O36" s="938">
        <f t="shared" si="5"/>
        <v>55891200</v>
      </c>
    </row>
    <row r="37" spans="1:15" x14ac:dyDescent="0.2">
      <c r="B37" s="3" t="s">
        <v>191</v>
      </c>
      <c r="C37" s="937">
        <v>0</v>
      </c>
      <c r="D37" s="937">
        <v>0</v>
      </c>
      <c r="E37" s="937">
        <v>0</v>
      </c>
      <c r="F37" s="937">
        <v>0</v>
      </c>
      <c r="G37" s="937">
        <v>0</v>
      </c>
      <c r="H37" s="937">
        <v>0</v>
      </c>
      <c r="I37" s="937">
        <v>126000000</v>
      </c>
      <c r="J37" s="937">
        <v>0</v>
      </c>
      <c r="K37" s="937">
        <v>0</v>
      </c>
      <c r="L37" s="937">
        <v>0</v>
      </c>
      <c r="M37" s="937">
        <v>0</v>
      </c>
      <c r="N37" s="938" t="str">
        <f t="shared" si="4"/>
        <v>Class Size Reduction</v>
      </c>
      <c r="O37" s="938">
        <f t="shared" si="5"/>
        <v>126000000</v>
      </c>
    </row>
    <row r="38" spans="1:15" hidden="1" x14ac:dyDescent="0.2">
      <c r="B38" s="3" t="s">
        <v>386</v>
      </c>
      <c r="C38" s="937">
        <v>0</v>
      </c>
      <c r="D38" s="937">
        <v>0</v>
      </c>
      <c r="E38" s="937">
        <v>0</v>
      </c>
      <c r="F38" s="937">
        <v>0</v>
      </c>
      <c r="G38" s="937">
        <v>0</v>
      </c>
      <c r="H38" s="937">
        <v>0</v>
      </c>
      <c r="I38" s="937">
        <v>0</v>
      </c>
      <c r="J38" s="937">
        <v>0</v>
      </c>
      <c r="K38" s="937">
        <v>0</v>
      </c>
      <c r="L38" s="937">
        <v>0</v>
      </c>
      <c r="M38" s="937">
        <v>0</v>
      </c>
      <c r="N38" s="938" t="str">
        <f t="shared" si="4"/>
        <v>For/on behalf of School District</v>
      </c>
      <c r="O38" s="938">
        <f t="shared" si="5"/>
        <v>0</v>
      </c>
    </row>
    <row r="39" spans="1:15" x14ac:dyDescent="0.2">
      <c r="B39" s="3"/>
      <c r="C39" s="935"/>
      <c r="D39" s="935"/>
      <c r="E39" s="935"/>
      <c r="F39" s="935"/>
      <c r="G39" s="935"/>
      <c r="H39" s="935"/>
      <c r="I39" s="935"/>
      <c r="J39" s="935"/>
      <c r="K39" s="935"/>
      <c r="L39" s="935"/>
      <c r="M39" s="935"/>
      <c r="N39" s="939"/>
      <c r="O39" s="905"/>
    </row>
    <row r="40" spans="1:15" s="2" customFormat="1" x14ac:dyDescent="0.2">
      <c r="B40" s="39" t="s">
        <v>125</v>
      </c>
      <c r="C40" s="931">
        <f>SUM(C28:C39)</f>
        <v>577631000</v>
      </c>
      <c r="D40" s="931">
        <f t="shared" ref="D40:M40" si="6">SUM(D28:D39)</f>
        <v>136680000</v>
      </c>
      <c r="E40" s="931">
        <f t="shared" si="6"/>
        <v>0</v>
      </c>
      <c r="F40" s="931">
        <f t="shared" si="6"/>
        <v>0</v>
      </c>
      <c r="G40" s="931">
        <f t="shared" si="6"/>
        <v>0</v>
      </c>
      <c r="H40" s="931">
        <f t="shared" si="6"/>
        <v>0</v>
      </c>
      <c r="I40" s="931">
        <f t="shared" si="6"/>
        <v>182891200</v>
      </c>
      <c r="J40" s="931">
        <f t="shared" si="6"/>
        <v>181674250</v>
      </c>
      <c r="K40" s="931">
        <f t="shared" si="6"/>
        <v>475000</v>
      </c>
      <c r="L40" s="931">
        <f t="shared" si="6"/>
        <v>0</v>
      </c>
      <c r="M40" s="931">
        <f t="shared" si="6"/>
        <v>0</v>
      </c>
      <c r="N40" s="930">
        <f>SUM(C40:M40)</f>
        <v>1079351450</v>
      </c>
      <c r="O40" s="903"/>
    </row>
    <row r="41" spans="1:15" s="2" customFormat="1" x14ac:dyDescent="0.2">
      <c r="B41" s="39"/>
      <c r="C41" s="931"/>
      <c r="D41" s="931"/>
      <c r="E41" s="931"/>
      <c r="F41" s="931"/>
      <c r="G41" s="931"/>
      <c r="H41" s="931"/>
      <c r="I41" s="931"/>
      <c r="J41" s="931"/>
      <c r="K41" s="931"/>
      <c r="L41" s="931"/>
      <c r="M41" s="931"/>
      <c r="N41" s="930"/>
      <c r="O41" s="903"/>
    </row>
    <row r="42" spans="1:15" s="37" customFormat="1" x14ac:dyDescent="0.2">
      <c r="A42" s="45"/>
      <c r="B42" s="3" t="s">
        <v>297</v>
      </c>
      <c r="C42" s="937">
        <v>0</v>
      </c>
      <c r="D42" s="937">
        <v>0</v>
      </c>
      <c r="E42" s="937">
        <v>0</v>
      </c>
      <c r="F42" s="937">
        <v>0</v>
      </c>
      <c r="G42" s="937">
        <v>0</v>
      </c>
      <c r="H42" s="937">
        <v>0</v>
      </c>
      <c r="I42" s="937">
        <v>0</v>
      </c>
      <c r="J42" s="937">
        <v>0</v>
      </c>
      <c r="K42" s="937">
        <v>0</v>
      </c>
      <c r="L42" s="937">
        <v>0</v>
      </c>
      <c r="M42" s="937">
        <v>0</v>
      </c>
      <c r="N42" s="938" t="str">
        <f t="shared" ref="N42:N48" si="7">B42</f>
        <v>Medicaid SBCHS Reimbursement</v>
      </c>
      <c r="O42" s="938">
        <f t="shared" ref="O42:O48" si="8">SUM(C42:M42)</f>
        <v>0</v>
      </c>
    </row>
    <row r="43" spans="1:15" s="37" customFormat="1" x14ac:dyDescent="0.2">
      <c r="A43" s="45"/>
      <c r="B43" s="3" t="s">
        <v>390</v>
      </c>
      <c r="C43" s="937">
        <v>57000</v>
      </c>
      <c r="D43" s="937">
        <v>0</v>
      </c>
      <c r="E43" s="937">
        <v>0</v>
      </c>
      <c r="F43" s="937">
        <v>0</v>
      </c>
      <c r="G43" s="937">
        <v>0</v>
      </c>
      <c r="H43" s="937">
        <v>0</v>
      </c>
      <c r="I43" s="937">
        <v>0</v>
      </c>
      <c r="J43" s="937">
        <v>0</v>
      </c>
      <c r="K43" s="937">
        <f>116000000+13500000</f>
        <v>129500000</v>
      </c>
      <c r="L43" s="937">
        <v>0</v>
      </c>
      <c r="M43" s="937">
        <v>0</v>
      </c>
      <c r="N43" s="938" t="str">
        <f t="shared" si="7"/>
        <v>Unrestricted - Direct Fed Gov't</v>
      </c>
      <c r="O43" s="938">
        <f t="shared" si="8"/>
        <v>129557000</v>
      </c>
    </row>
    <row r="44" spans="1:15" s="37" customFormat="1" x14ac:dyDescent="0.2">
      <c r="A44" s="45"/>
      <c r="B44" s="3" t="s">
        <v>299</v>
      </c>
      <c r="C44" s="937">
        <v>0</v>
      </c>
      <c r="D44" s="937">
        <v>0</v>
      </c>
      <c r="E44" s="937">
        <v>0</v>
      </c>
      <c r="F44" s="937">
        <v>0</v>
      </c>
      <c r="G44" s="937">
        <v>5650000</v>
      </c>
      <c r="H44" s="937">
        <v>3621370</v>
      </c>
      <c r="I44" s="937">
        <v>0</v>
      </c>
      <c r="J44" s="937">
        <v>0</v>
      </c>
      <c r="K44" s="937">
        <v>0</v>
      </c>
      <c r="L44" s="937">
        <v>0</v>
      </c>
      <c r="M44" s="937">
        <v>0</v>
      </c>
      <c r="N44" s="938" t="str">
        <f t="shared" si="7"/>
        <v>Restricted - Direct</v>
      </c>
      <c r="O44" s="938">
        <f t="shared" si="8"/>
        <v>9271370</v>
      </c>
    </row>
    <row r="45" spans="1:15" s="37" customFormat="1" x14ac:dyDescent="0.2">
      <c r="A45" s="45"/>
      <c r="B45" s="3" t="s">
        <v>298</v>
      </c>
      <c r="C45" s="937">
        <v>0</v>
      </c>
      <c r="D45" s="937">
        <v>0</v>
      </c>
      <c r="E45" s="937">
        <v>0</v>
      </c>
      <c r="F45" s="937">
        <v>0</v>
      </c>
      <c r="G45" s="937">
        <v>0</v>
      </c>
      <c r="H45" s="937">
        <v>205370540</v>
      </c>
      <c r="I45" s="937">
        <v>0</v>
      </c>
      <c r="J45" s="937">
        <v>0</v>
      </c>
      <c r="K45" s="937">
        <v>0</v>
      </c>
      <c r="L45" s="937">
        <v>0</v>
      </c>
      <c r="M45" s="937">
        <v>0</v>
      </c>
      <c r="N45" s="938" t="str">
        <f t="shared" si="7"/>
        <v>Restricted - State Agency</v>
      </c>
      <c r="O45" s="938">
        <f t="shared" si="8"/>
        <v>205370540</v>
      </c>
    </row>
    <row r="46" spans="1:15" s="37" customFormat="1" hidden="1" x14ac:dyDescent="0.2">
      <c r="A46" s="45"/>
      <c r="B46" s="3" t="s">
        <v>476</v>
      </c>
      <c r="C46" s="937">
        <v>0</v>
      </c>
      <c r="D46" s="937">
        <v>0</v>
      </c>
      <c r="E46" s="937">
        <v>0</v>
      </c>
      <c r="F46" s="937">
        <v>0</v>
      </c>
      <c r="G46" s="937">
        <v>0</v>
      </c>
      <c r="H46" s="937">
        <v>0</v>
      </c>
      <c r="I46" s="937">
        <v>0</v>
      </c>
      <c r="J46" s="937">
        <v>0</v>
      </c>
      <c r="K46" s="937">
        <v>0</v>
      </c>
      <c r="L46" s="937">
        <v>0</v>
      </c>
      <c r="M46" s="937">
        <v>0</v>
      </c>
      <c r="N46" s="938" t="str">
        <f t="shared" si="7"/>
        <v>Restricted - Other Agency</v>
      </c>
      <c r="O46" s="938">
        <f t="shared" si="8"/>
        <v>0</v>
      </c>
    </row>
    <row r="47" spans="1:15" s="37" customFormat="1" x14ac:dyDescent="0.2">
      <c r="A47" s="45"/>
      <c r="B47" s="3" t="s">
        <v>398</v>
      </c>
      <c r="C47" s="937">
        <v>129000</v>
      </c>
      <c r="D47" s="937">
        <v>0</v>
      </c>
      <c r="E47" s="937">
        <v>0</v>
      </c>
      <c r="F47" s="937">
        <v>0</v>
      </c>
      <c r="G47" s="937">
        <v>0</v>
      </c>
      <c r="H47" s="937">
        <v>0</v>
      </c>
      <c r="I47" s="937">
        <v>0</v>
      </c>
      <c r="J47" s="937">
        <v>0</v>
      </c>
      <c r="K47" s="937">
        <v>0</v>
      </c>
      <c r="L47" s="937">
        <v>0</v>
      </c>
      <c r="M47" s="937">
        <v>0</v>
      </c>
      <c r="N47" s="938" t="str">
        <f t="shared" si="7"/>
        <v>Revenue in Lieu of Taxes</v>
      </c>
      <c r="O47" s="938">
        <f t="shared" si="8"/>
        <v>129000</v>
      </c>
    </row>
    <row r="48" spans="1:15" x14ac:dyDescent="0.2">
      <c r="B48" s="3" t="s">
        <v>554</v>
      </c>
      <c r="C48" s="937">
        <v>1050000</v>
      </c>
      <c r="D48" s="937">
        <v>0</v>
      </c>
      <c r="E48" s="937">
        <v>0</v>
      </c>
      <c r="F48" s="937">
        <v>0</v>
      </c>
      <c r="G48" s="937">
        <v>0</v>
      </c>
      <c r="H48" s="937">
        <v>6800000</v>
      </c>
      <c r="I48" s="937">
        <v>0</v>
      </c>
      <c r="J48" s="937">
        <v>0</v>
      </c>
      <c r="K48" s="937">
        <v>0</v>
      </c>
      <c r="L48" s="937">
        <v>0</v>
      </c>
      <c r="M48" s="937">
        <v>0</v>
      </c>
      <c r="N48" s="938" t="str">
        <f t="shared" si="7"/>
        <v>Revenue for/on behalf of School District</v>
      </c>
      <c r="O48" s="938">
        <f t="shared" si="8"/>
        <v>7850000</v>
      </c>
    </row>
    <row r="49" spans="1:15" x14ac:dyDescent="0.2">
      <c r="B49" s="3"/>
      <c r="C49" s="935"/>
      <c r="D49" s="935"/>
      <c r="E49" s="935"/>
      <c r="F49" s="935"/>
      <c r="G49" s="935"/>
      <c r="H49" s="935"/>
      <c r="I49" s="935"/>
      <c r="J49" s="935"/>
      <c r="K49" s="935"/>
      <c r="L49" s="935"/>
      <c r="M49" s="935"/>
      <c r="N49" s="939"/>
      <c r="O49" s="905"/>
    </row>
    <row r="50" spans="1:15" s="2" customFormat="1" x14ac:dyDescent="0.2">
      <c r="B50" s="39" t="s">
        <v>126</v>
      </c>
      <c r="C50" s="931">
        <f>SUM(C41:C49)</f>
        <v>1236000</v>
      </c>
      <c r="D50" s="931">
        <f t="shared" ref="D50:M50" si="9">SUM(D41:D49)</f>
        <v>0</v>
      </c>
      <c r="E50" s="931">
        <f t="shared" si="9"/>
        <v>0</v>
      </c>
      <c r="F50" s="931">
        <f t="shared" si="9"/>
        <v>0</v>
      </c>
      <c r="G50" s="931">
        <f t="shared" si="9"/>
        <v>5650000</v>
      </c>
      <c r="H50" s="931">
        <f t="shared" si="9"/>
        <v>215791910</v>
      </c>
      <c r="I50" s="931">
        <f t="shared" si="9"/>
        <v>0</v>
      </c>
      <c r="J50" s="931">
        <f t="shared" si="9"/>
        <v>0</v>
      </c>
      <c r="K50" s="931">
        <f t="shared" si="9"/>
        <v>129500000</v>
      </c>
      <c r="L50" s="931">
        <f t="shared" si="9"/>
        <v>0</v>
      </c>
      <c r="M50" s="931">
        <f t="shared" si="9"/>
        <v>0</v>
      </c>
      <c r="N50" s="930">
        <f>SUM(C50:M50)</f>
        <v>352177910</v>
      </c>
      <c r="O50" s="903"/>
    </row>
    <row r="51" spans="1:15" x14ac:dyDescent="0.2">
      <c r="B51" s="550"/>
      <c r="C51" s="935"/>
      <c r="D51" s="935"/>
      <c r="E51" s="935"/>
      <c r="F51" s="935"/>
      <c r="G51" s="935"/>
      <c r="H51" s="935"/>
      <c r="I51" s="935"/>
      <c r="J51" s="935"/>
      <c r="K51" s="935"/>
      <c r="L51" s="935"/>
      <c r="M51" s="935"/>
      <c r="N51" s="939"/>
      <c r="O51" s="905"/>
    </row>
    <row r="52" spans="1:15" x14ac:dyDescent="0.2">
      <c r="B52" s="3" t="s">
        <v>300</v>
      </c>
      <c r="C52" s="937">
        <v>35000000</v>
      </c>
      <c r="D52" s="937">
        <v>0</v>
      </c>
      <c r="E52" s="937">
        <v>0</v>
      </c>
      <c r="F52" s="937">
        <v>0</v>
      </c>
      <c r="G52" s="937">
        <v>400000000</v>
      </c>
      <c r="H52" s="937">
        <v>0</v>
      </c>
      <c r="I52" s="937">
        <v>0</v>
      </c>
      <c r="J52" s="937">
        <v>0</v>
      </c>
      <c r="K52" s="937">
        <v>0</v>
      </c>
      <c r="L52" s="937">
        <v>0</v>
      </c>
      <c r="M52" s="937">
        <v>0</v>
      </c>
      <c r="N52" s="938" t="str">
        <f>B52</f>
        <v xml:space="preserve">Bond Principal </v>
      </c>
      <c r="O52" s="938">
        <f>SUM(C52:M52)</f>
        <v>435000000</v>
      </c>
    </row>
    <row r="53" spans="1:15" x14ac:dyDescent="0.2">
      <c r="B53" s="3" t="s">
        <v>408</v>
      </c>
      <c r="C53" s="937">
        <v>1958000</v>
      </c>
      <c r="D53" s="937">
        <v>0</v>
      </c>
      <c r="E53" s="937">
        <v>0</v>
      </c>
      <c r="F53" s="937">
        <v>0</v>
      </c>
      <c r="G53" s="937">
        <v>29763119</v>
      </c>
      <c r="H53" s="937">
        <v>0</v>
      </c>
      <c r="I53" s="937">
        <v>0</v>
      </c>
      <c r="J53" s="937">
        <v>0</v>
      </c>
      <c r="K53" s="937">
        <v>0</v>
      </c>
      <c r="L53" s="937">
        <v>0</v>
      </c>
      <c r="M53" s="937">
        <v>0</v>
      </c>
      <c r="N53" s="938" t="str">
        <f>B53</f>
        <v>Premium/Discount of Bond Sale</v>
      </c>
      <c r="O53" s="938">
        <f>SUM(C53:M53)</f>
        <v>31721119</v>
      </c>
    </row>
    <row r="54" spans="1:15" s="37" customFormat="1" hidden="1" x14ac:dyDescent="0.2">
      <c r="A54" s="45"/>
      <c r="B54" s="3" t="s">
        <v>301</v>
      </c>
      <c r="C54" s="937">
        <v>0</v>
      </c>
      <c r="D54" s="937">
        <v>359636566</v>
      </c>
      <c r="E54" s="937">
        <v>92953840</v>
      </c>
      <c r="F54" s="937">
        <v>0</v>
      </c>
      <c r="G54" s="937">
        <v>112000000</v>
      </c>
      <c r="H54" s="937">
        <v>0</v>
      </c>
      <c r="I54" s="937">
        <v>0</v>
      </c>
      <c r="J54" s="937">
        <v>0</v>
      </c>
      <c r="K54" s="937">
        <v>0</v>
      </c>
      <c r="L54" s="937">
        <v>0</v>
      </c>
      <c r="M54" s="937">
        <v>-564590406</v>
      </c>
      <c r="N54" s="938" t="str">
        <f>B54</f>
        <v>Transfers from Other Funds</v>
      </c>
      <c r="O54" s="938">
        <f>SUM(C54:M54)</f>
        <v>0</v>
      </c>
    </row>
    <row r="55" spans="1:15" s="37" customFormat="1" x14ac:dyDescent="0.2">
      <c r="A55" s="45"/>
      <c r="B55" s="3" t="s">
        <v>302</v>
      </c>
      <c r="C55" s="937">
        <v>709000</v>
      </c>
      <c r="D55" s="937">
        <v>0</v>
      </c>
      <c r="E55" s="937">
        <v>0</v>
      </c>
      <c r="F55" s="937">
        <v>0</v>
      </c>
      <c r="G55" s="937">
        <v>0</v>
      </c>
      <c r="H55" s="937">
        <v>0</v>
      </c>
      <c r="I55" s="937">
        <v>0</v>
      </c>
      <c r="J55" s="937">
        <v>0</v>
      </c>
      <c r="K55" s="937">
        <v>0</v>
      </c>
      <c r="L55" s="937">
        <v>0</v>
      </c>
      <c r="M55" s="937">
        <v>0</v>
      </c>
      <c r="N55" s="938" t="str">
        <f>B55</f>
        <v xml:space="preserve">Gain/Loss Disposal of Assets </v>
      </c>
      <c r="O55" s="938">
        <f>SUM(C55:M55)</f>
        <v>709000</v>
      </c>
    </row>
    <row r="56" spans="1:15" x14ac:dyDescent="0.2">
      <c r="B56" s="3"/>
      <c r="C56" s="935"/>
      <c r="D56" s="935"/>
      <c r="E56" s="935"/>
      <c r="F56" s="935"/>
      <c r="G56" s="935"/>
      <c r="H56" s="935"/>
      <c r="I56" s="935"/>
      <c r="J56" s="935"/>
      <c r="K56" s="935"/>
      <c r="L56" s="935"/>
      <c r="M56" s="935"/>
      <c r="N56" s="939"/>
      <c r="O56" s="905"/>
    </row>
    <row r="57" spans="1:15" s="2" customFormat="1" x14ac:dyDescent="0.2">
      <c r="B57" s="39" t="s">
        <v>127</v>
      </c>
      <c r="C57" s="931">
        <f>SUM(C51:C56)</f>
        <v>37667000</v>
      </c>
      <c r="D57" s="931">
        <f t="shared" ref="D57:M57" si="10">SUM(D51:D56)</f>
        <v>359636566</v>
      </c>
      <c r="E57" s="931">
        <f t="shared" si="10"/>
        <v>92953840</v>
      </c>
      <c r="F57" s="931">
        <f t="shared" si="10"/>
        <v>0</v>
      </c>
      <c r="G57" s="931">
        <f t="shared" si="10"/>
        <v>541763119</v>
      </c>
      <c r="H57" s="931">
        <f t="shared" si="10"/>
        <v>0</v>
      </c>
      <c r="I57" s="931">
        <f t="shared" si="10"/>
        <v>0</v>
      </c>
      <c r="J57" s="931">
        <f t="shared" si="10"/>
        <v>0</v>
      </c>
      <c r="K57" s="931">
        <f t="shared" si="10"/>
        <v>0</v>
      </c>
      <c r="L57" s="931">
        <f t="shared" si="10"/>
        <v>0</v>
      </c>
      <c r="M57" s="931">
        <f t="shared" si="10"/>
        <v>-564590406</v>
      </c>
      <c r="N57" s="930">
        <f>SUM(C57:M57)</f>
        <v>467430119</v>
      </c>
      <c r="O57" s="903"/>
    </row>
    <row r="58" spans="1:15" x14ac:dyDescent="0.2">
      <c r="B58" s="3"/>
      <c r="C58" s="935"/>
      <c r="D58" s="935"/>
      <c r="E58" s="935"/>
      <c r="F58" s="935"/>
      <c r="G58" s="935"/>
      <c r="H58" s="935"/>
      <c r="I58" s="935"/>
      <c r="J58" s="935"/>
      <c r="K58" s="935"/>
      <c r="L58" s="935"/>
      <c r="M58" s="935"/>
      <c r="N58" s="939"/>
      <c r="O58" s="905"/>
    </row>
    <row r="59" spans="1:15" s="2" customFormat="1" x14ac:dyDescent="0.2">
      <c r="B59" s="18" t="s">
        <v>128</v>
      </c>
      <c r="C59" s="931">
        <f>SUM(C57,C50,C40,C27)</f>
        <v>2343575000</v>
      </c>
      <c r="D59" s="931">
        <f t="shared" ref="D59:M59" si="11">SUM(D57,D50,D40,D27)</f>
        <v>496316566</v>
      </c>
      <c r="E59" s="931">
        <f t="shared" si="11"/>
        <v>497705140</v>
      </c>
      <c r="F59" s="931">
        <f t="shared" si="11"/>
        <v>174600</v>
      </c>
      <c r="G59" s="931">
        <f t="shared" si="11"/>
        <v>727278945</v>
      </c>
      <c r="H59" s="931">
        <f t="shared" si="11"/>
        <v>215791910</v>
      </c>
      <c r="I59" s="931">
        <f t="shared" si="11"/>
        <v>275186144</v>
      </c>
      <c r="J59" s="931">
        <f t="shared" si="11"/>
        <v>181674250</v>
      </c>
      <c r="K59" s="931">
        <f t="shared" si="11"/>
        <v>142475000</v>
      </c>
      <c r="L59" s="931">
        <f t="shared" si="11"/>
        <v>37657000</v>
      </c>
      <c r="M59" s="931">
        <f t="shared" si="11"/>
        <v>-564590406</v>
      </c>
      <c r="N59" s="930">
        <f>SUM(N27:N58)</f>
        <v>4353244149</v>
      </c>
      <c r="O59" s="903"/>
    </row>
    <row r="60" spans="1:15" s="2" customFormat="1" x14ac:dyDescent="0.2">
      <c r="B60" s="18"/>
      <c r="C60" s="931"/>
      <c r="D60" s="931"/>
      <c r="E60" s="931"/>
      <c r="F60" s="931"/>
      <c r="G60" s="931"/>
      <c r="H60" s="931"/>
      <c r="I60" s="931"/>
      <c r="J60" s="931"/>
      <c r="K60" s="931"/>
      <c r="L60" s="931"/>
      <c r="M60" s="931"/>
      <c r="N60" s="930"/>
      <c r="O60" s="903"/>
    </row>
    <row r="61" spans="1:15" s="37" customFormat="1" x14ac:dyDescent="0.2">
      <c r="A61" s="45"/>
      <c r="B61" s="3" t="s">
        <v>555</v>
      </c>
      <c r="C61" s="937">
        <v>0</v>
      </c>
      <c r="D61" s="937">
        <v>0</v>
      </c>
      <c r="E61" s="937">
        <v>0</v>
      </c>
      <c r="F61" s="937">
        <v>0</v>
      </c>
      <c r="G61" s="937">
        <v>0</v>
      </c>
      <c r="H61" s="937">
        <v>0</v>
      </c>
      <c r="I61" s="937">
        <v>1833513</v>
      </c>
      <c r="J61" s="937">
        <v>0</v>
      </c>
      <c r="K61" s="937">
        <v>0</v>
      </c>
      <c r="L61" s="937">
        <v>0</v>
      </c>
      <c r="M61" s="937">
        <v>0</v>
      </c>
      <c r="N61" s="938" t="str">
        <f>B61</f>
        <v>Ristricted Opening Balance</v>
      </c>
      <c r="O61" s="938">
        <f>SUM(C61:M61)</f>
        <v>1833513</v>
      </c>
    </row>
    <row r="62" spans="1:15" s="37" customFormat="1" x14ac:dyDescent="0.2">
      <c r="A62" s="45"/>
      <c r="B62" s="3" t="s">
        <v>556</v>
      </c>
      <c r="C62" s="937">
        <v>0</v>
      </c>
      <c r="D62" s="937">
        <v>0</v>
      </c>
      <c r="E62" s="937">
        <v>0</v>
      </c>
      <c r="F62" s="937">
        <v>0</v>
      </c>
      <c r="G62" s="937">
        <v>0</v>
      </c>
      <c r="H62" s="937">
        <v>0</v>
      </c>
      <c r="I62" s="937">
        <v>33899717</v>
      </c>
      <c r="J62" s="937">
        <v>0</v>
      </c>
      <c r="K62" s="937">
        <v>0</v>
      </c>
      <c r="L62" s="937">
        <v>0</v>
      </c>
      <c r="M62" s="937">
        <v>0</v>
      </c>
      <c r="N62" s="938" t="str">
        <f>B62</f>
        <v>Assigned Opening Balance</v>
      </c>
      <c r="O62" s="938">
        <f>SUM(C62:M62)</f>
        <v>33899717</v>
      </c>
    </row>
    <row r="63" spans="1:15" s="37" customFormat="1" x14ac:dyDescent="0.2">
      <c r="A63" s="45"/>
      <c r="B63" s="3" t="s">
        <v>304</v>
      </c>
      <c r="C63" s="937">
        <v>170928263</v>
      </c>
      <c r="D63" s="937">
        <v>0</v>
      </c>
      <c r="E63" s="937">
        <v>129400774</v>
      </c>
      <c r="F63" s="937">
        <v>11140816</v>
      </c>
      <c r="G63" s="937">
        <v>755387835</v>
      </c>
      <c r="H63" s="937">
        <v>7886575</v>
      </c>
      <c r="I63" s="937">
        <v>0</v>
      </c>
      <c r="J63" s="937">
        <v>0</v>
      </c>
      <c r="K63" s="937">
        <v>78018079</v>
      </c>
      <c r="L63" s="937">
        <v>7898924</v>
      </c>
      <c r="M63" s="937">
        <v>0</v>
      </c>
      <c r="N63" s="938" t="str">
        <f>B63</f>
        <v>Opening Balance (Other)</v>
      </c>
      <c r="O63" s="938">
        <f>SUM(C63:M63)</f>
        <v>1160661266</v>
      </c>
    </row>
    <row r="64" spans="1:15" s="37" customFormat="1" x14ac:dyDescent="0.2">
      <c r="A64" s="45"/>
      <c r="B64" s="3" t="s">
        <v>305</v>
      </c>
      <c r="C64" s="937">
        <v>0</v>
      </c>
      <c r="D64" s="937">
        <v>0</v>
      </c>
      <c r="E64" s="937">
        <v>0</v>
      </c>
      <c r="F64" s="937">
        <v>0</v>
      </c>
      <c r="G64" s="937">
        <v>0</v>
      </c>
      <c r="H64" s="937">
        <v>0</v>
      </c>
      <c r="I64" s="937">
        <v>0</v>
      </c>
      <c r="J64" s="937">
        <v>0</v>
      </c>
      <c r="K64" s="937">
        <v>0</v>
      </c>
      <c r="L64" s="937">
        <v>0</v>
      </c>
      <c r="M64" s="937">
        <v>0</v>
      </c>
      <c r="N64" s="938" t="str">
        <f>B64</f>
        <v>Reverted to State</v>
      </c>
      <c r="O64" s="938">
        <f>SUM(C64:M64)</f>
        <v>0</v>
      </c>
    </row>
    <row r="65" spans="1:16" x14ac:dyDescent="0.2">
      <c r="B65" s="3"/>
      <c r="C65" s="935"/>
      <c r="D65" s="935"/>
      <c r="E65" s="935"/>
      <c r="F65" s="935"/>
      <c r="G65" s="935"/>
      <c r="H65" s="935"/>
      <c r="I65" s="935"/>
      <c r="J65" s="935"/>
      <c r="K65" s="935"/>
      <c r="L65" s="935"/>
      <c r="M65" s="935"/>
      <c r="N65" s="905"/>
      <c r="O65" s="905"/>
    </row>
    <row r="66" spans="1:16" s="2" customFormat="1" x14ac:dyDescent="0.2">
      <c r="B66" s="39" t="s">
        <v>129</v>
      </c>
      <c r="C66" s="931">
        <f>SUM(C60:C65)</f>
        <v>170928263</v>
      </c>
      <c r="D66" s="931">
        <f t="shared" ref="D66:M66" si="12">SUM(D60:D65)</f>
        <v>0</v>
      </c>
      <c r="E66" s="931">
        <f t="shared" si="12"/>
        <v>129400774</v>
      </c>
      <c r="F66" s="931">
        <f t="shared" si="12"/>
        <v>11140816</v>
      </c>
      <c r="G66" s="931">
        <f t="shared" si="12"/>
        <v>755387835</v>
      </c>
      <c r="H66" s="931">
        <f t="shared" si="12"/>
        <v>7886575</v>
      </c>
      <c r="I66" s="931">
        <f t="shared" si="12"/>
        <v>35733230</v>
      </c>
      <c r="J66" s="931">
        <f t="shared" si="12"/>
        <v>0</v>
      </c>
      <c r="K66" s="931">
        <f t="shared" si="12"/>
        <v>78018079</v>
      </c>
      <c r="L66" s="931">
        <f t="shared" si="12"/>
        <v>7898924</v>
      </c>
      <c r="M66" s="931">
        <f t="shared" si="12"/>
        <v>0</v>
      </c>
      <c r="N66" s="931">
        <f>SUM(C66:M66)</f>
        <v>1196394496</v>
      </c>
      <c r="O66" s="903"/>
    </row>
    <row r="68" spans="1:16" x14ac:dyDescent="0.2">
      <c r="A68" s="22"/>
      <c r="B68" s="23" t="s">
        <v>306</v>
      </c>
      <c r="C68" s="24">
        <f>SUM(C66,C59)</f>
        <v>2514503263</v>
      </c>
      <c r="D68" s="24">
        <f t="shared" ref="D68:M68" si="13">SUM(D66,D59)</f>
        <v>496316566</v>
      </c>
      <c r="E68" s="24">
        <f t="shared" si="13"/>
        <v>627105914</v>
      </c>
      <c r="F68" s="24">
        <f t="shared" si="13"/>
        <v>11315416</v>
      </c>
      <c r="G68" s="24">
        <f t="shared" si="13"/>
        <v>1482666780</v>
      </c>
      <c r="H68" s="24">
        <f t="shared" si="13"/>
        <v>223678485</v>
      </c>
      <c r="I68" s="24">
        <f t="shared" si="13"/>
        <v>310919374</v>
      </c>
      <c r="J68" s="24">
        <f t="shared" si="13"/>
        <v>181674250</v>
      </c>
      <c r="K68" s="24">
        <f t="shared" si="13"/>
        <v>220493079</v>
      </c>
      <c r="L68" s="24">
        <f t="shared" si="13"/>
        <v>45555924</v>
      </c>
      <c r="M68" s="24">
        <f t="shared" si="13"/>
        <v>-564590406</v>
      </c>
      <c r="N68" s="25">
        <f>SUM(C68:M68)</f>
        <v>5549638645</v>
      </c>
      <c r="O68" s="26">
        <f>F1-N68</f>
        <v>0</v>
      </c>
      <c r="P68" s="17"/>
    </row>
    <row r="69" spans="1:16" s="2" customFormat="1" x14ac:dyDescent="0.2">
      <c r="A69" s="27"/>
      <c r="B69" s="28" t="s">
        <v>131</v>
      </c>
      <c r="C69" s="285">
        <f t="shared" ref="C69:M69" si="14">SUM(C73:C207)</f>
        <v>2514503263</v>
      </c>
      <c r="D69" s="285">
        <f t="shared" si="14"/>
        <v>496316566</v>
      </c>
      <c r="E69" s="285">
        <f t="shared" si="14"/>
        <v>627105914</v>
      </c>
      <c r="F69" s="285">
        <f t="shared" si="14"/>
        <v>11315416</v>
      </c>
      <c r="G69" s="285">
        <f t="shared" si="14"/>
        <v>1482666780</v>
      </c>
      <c r="H69" s="285">
        <f t="shared" si="14"/>
        <v>223678485</v>
      </c>
      <c r="I69" s="285">
        <f t="shared" si="14"/>
        <v>310919374</v>
      </c>
      <c r="J69" s="285">
        <f t="shared" si="14"/>
        <v>181674250</v>
      </c>
      <c r="K69" s="285">
        <f t="shared" si="14"/>
        <v>220493079</v>
      </c>
      <c r="L69" s="285">
        <f t="shared" si="14"/>
        <v>45555924</v>
      </c>
      <c r="M69" s="285">
        <f t="shared" si="14"/>
        <v>-564590406</v>
      </c>
      <c r="N69" s="29">
        <f>SUM(C69:M69)</f>
        <v>5549638645</v>
      </c>
    </row>
    <row r="70" spans="1:16" x14ac:dyDescent="0.2">
      <c r="A70" s="30"/>
      <c r="B70" s="286" t="s">
        <v>132</v>
      </c>
      <c r="C70" s="909">
        <f t="shared" ref="C70:N70" si="15">C68-C69</f>
        <v>0</v>
      </c>
      <c r="D70" s="909">
        <f>D68-D69</f>
        <v>0</v>
      </c>
      <c r="E70" s="909">
        <f>E68-E69</f>
        <v>0</v>
      </c>
      <c r="F70" s="909">
        <f>F68-F69</f>
        <v>0</v>
      </c>
      <c r="G70" s="909">
        <f>G68-G69</f>
        <v>0</v>
      </c>
      <c r="H70" s="909">
        <f>H68-H69</f>
        <v>0</v>
      </c>
      <c r="I70" s="909">
        <f t="shared" si="15"/>
        <v>0</v>
      </c>
      <c r="J70" s="909">
        <f>J68-J69</f>
        <v>0</v>
      </c>
      <c r="K70" s="909">
        <f>K68-K69</f>
        <v>0</v>
      </c>
      <c r="L70" s="909">
        <f t="shared" si="15"/>
        <v>0</v>
      </c>
      <c r="M70" s="909">
        <f>M68-M69</f>
        <v>0</v>
      </c>
      <c r="N70" s="29">
        <f t="shared" si="15"/>
        <v>0</v>
      </c>
    </row>
    <row r="72" spans="1:16" x14ac:dyDescent="0.2">
      <c r="B72" s="2" t="s">
        <v>307</v>
      </c>
    </row>
    <row r="73" spans="1:16" x14ac:dyDescent="0.2">
      <c r="A73" s="2">
        <v>100</v>
      </c>
      <c r="B73" t="s">
        <v>134</v>
      </c>
      <c r="C73" s="916">
        <v>1196756414</v>
      </c>
      <c r="D73" s="916">
        <v>0</v>
      </c>
      <c r="E73" s="916">
        <v>0</v>
      </c>
      <c r="F73" s="916">
        <v>0</v>
      </c>
      <c r="G73" s="916">
        <v>27855000</v>
      </c>
      <c r="H73" s="916">
        <v>82458730</v>
      </c>
      <c r="I73" s="916">
        <v>180669610</v>
      </c>
      <c r="J73" s="916">
        <v>31644370</v>
      </c>
      <c r="K73" s="916">
        <v>0</v>
      </c>
      <c r="L73" s="916">
        <v>0</v>
      </c>
      <c r="M73" s="916">
        <v>0</v>
      </c>
      <c r="N73" s="916">
        <f t="shared" ref="N73:N88" si="16">SUM(C73:M73)</f>
        <v>1519384124</v>
      </c>
    </row>
    <row r="74" spans="1:16" x14ac:dyDescent="0.2">
      <c r="A74" s="2">
        <v>200</v>
      </c>
      <c r="B74" t="s">
        <v>135</v>
      </c>
      <c r="C74" s="916">
        <v>3041241</v>
      </c>
      <c r="D74" s="916">
        <v>420996093</v>
      </c>
      <c r="E74" s="916">
        <v>0</v>
      </c>
      <c r="F74" s="916">
        <v>0</v>
      </c>
      <c r="G74" s="916">
        <v>0</v>
      </c>
      <c r="H74" s="916">
        <v>60862330</v>
      </c>
      <c r="I74" s="916">
        <v>40230</v>
      </c>
      <c r="J74" s="916">
        <v>526420</v>
      </c>
      <c r="K74" s="916">
        <v>0</v>
      </c>
      <c r="L74" s="916">
        <v>0</v>
      </c>
      <c r="M74" s="916">
        <v>0</v>
      </c>
      <c r="N74" s="916">
        <f t="shared" si="16"/>
        <v>485466314</v>
      </c>
    </row>
    <row r="75" spans="1:16" hidden="1" x14ac:dyDescent="0.2">
      <c r="A75" s="2" t="s">
        <v>10</v>
      </c>
      <c r="B75" t="s">
        <v>136</v>
      </c>
      <c r="C75" s="916">
        <v>0</v>
      </c>
      <c r="D75" s="916">
        <v>0</v>
      </c>
      <c r="E75" s="916">
        <v>0</v>
      </c>
      <c r="F75" s="916">
        <v>0</v>
      </c>
      <c r="G75" s="916">
        <v>0</v>
      </c>
      <c r="H75" s="916">
        <v>0</v>
      </c>
      <c r="I75" s="916">
        <v>0</v>
      </c>
      <c r="J75" s="916">
        <v>0</v>
      </c>
      <c r="K75" s="916">
        <v>0</v>
      </c>
      <c r="L75" s="916">
        <v>0</v>
      </c>
      <c r="M75" s="916">
        <v>0</v>
      </c>
      <c r="N75" s="916">
        <f t="shared" si="16"/>
        <v>0</v>
      </c>
    </row>
    <row r="76" spans="1:16" x14ac:dyDescent="0.2">
      <c r="A76" s="2">
        <v>270</v>
      </c>
      <c r="B76" t="s">
        <v>137</v>
      </c>
      <c r="C76" s="916">
        <v>9343838</v>
      </c>
      <c r="D76" s="916">
        <v>0</v>
      </c>
      <c r="E76" s="916">
        <v>0</v>
      </c>
      <c r="F76" s="916">
        <v>0</v>
      </c>
      <c r="G76" s="916">
        <v>0</v>
      </c>
      <c r="H76" s="916">
        <v>0</v>
      </c>
      <c r="I76" s="916">
        <v>0</v>
      </c>
      <c r="J76" s="916">
        <v>5335980</v>
      </c>
      <c r="K76" s="916">
        <v>0</v>
      </c>
      <c r="L76" s="916">
        <v>0</v>
      </c>
      <c r="M76" s="916">
        <v>0</v>
      </c>
      <c r="N76" s="916">
        <f t="shared" si="16"/>
        <v>14679818</v>
      </c>
    </row>
    <row r="77" spans="1:16" hidden="1" x14ac:dyDescent="0.2">
      <c r="A77" s="2" t="s">
        <v>10</v>
      </c>
      <c r="B77" t="s">
        <v>138</v>
      </c>
      <c r="C77" s="916">
        <v>0</v>
      </c>
      <c r="D77" s="916">
        <v>0</v>
      </c>
      <c r="E77" s="916">
        <v>0</v>
      </c>
      <c r="F77" s="916">
        <v>0</v>
      </c>
      <c r="G77" s="916">
        <v>0</v>
      </c>
      <c r="H77" s="916">
        <v>0</v>
      </c>
      <c r="I77" s="916">
        <v>0</v>
      </c>
      <c r="J77" s="916">
        <v>0</v>
      </c>
      <c r="K77" s="916">
        <v>0</v>
      </c>
      <c r="L77" s="916">
        <v>0</v>
      </c>
      <c r="M77" s="916">
        <v>0</v>
      </c>
      <c r="N77" s="916">
        <f t="shared" si="16"/>
        <v>0</v>
      </c>
    </row>
    <row r="78" spans="1:16" x14ac:dyDescent="0.2">
      <c r="A78" s="2">
        <v>300</v>
      </c>
      <c r="B78" t="s">
        <v>139</v>
      </c>
      <c r="C78" s="916">
        <v>7139938</v>
      </c>
      <c r="D78" s="916">
        <v>0</v>
      </c>
      <c r="E78" s="916">
        <v>0</v>
      </c>
      <c r="F78" s="916">
        <v>0</v>
      </c>
      <c r="G78" s="916">
        <v>0</v>
      </c>
      <c r="H78" s="916">
        <v>5889370</v>
      </c>
      <c r="I78" s="916">
        <v>0</v>
      </c>
      <c r="J78" s="916">
        <v>9019980</v>
      </c>
      <c r="K78" s="916">
        <v>0</v>
      </c>
      <c r="L78" s="916">
        <v>0</v>
      </c>
      <c r="M78" s="916">
        <v>0</v>
      </c>
      <c r="N78" s="916">
        <f t="shared" si="16"/>
        <v>22049288</v>
      </c>
    </row>
    <row r="79" spans="1:16" hidden="1" x14ac:dyDescent="0.2">
      <c r="A79" s="2">
        <v>400</v>
      </c>
      <c r="B79" t="s">
        <v>140</v>
      </c>
      <c r="C79" s="916">
        <v>0</v>
      </c>
      <c r="D79" s="916">
        <v>0</v>
      </c>
      <c r="E79" s="916">
        <v>0</v>
      </c>
      <c r="F79" s="916">
        <v>0</v>
      </c>
      <c r="G79" s="916">
        <v>0</v>
      </c>
      <c r="H79" s="916">
        <v>0</v>
      </c>
      <c r="I79" s="916">
        <v>0</v>
      </c>
      <c r="J79" s="916">
        <v>0</v>
      </c>
      <c r="K79" s="916">
        <v>0</v>
      </c>
      <c r="L79" s="916">
        <v>0</v>
      </c>
      <c r="M79" s="916">
        <v>0</v>
      </c>
      <c r="N79" s="916">
        <f t="shared" si="16"/>
        <v>0</v>
      </c>
    </row>
    <row r="80" spans="1:16" x14ac:dyDescent="0.2">
      <c r="A80" s="2" t="s">
        <v>10</v>
      </c>
      <c r="B80" t="s">
        <v>141</v>
      </c>
      <c r="C80" s="916">
        <v>8389347</v>
      </c>
      <c r="D80" s="916">
        <v>0</v>
      </c>
      <c r="E80" s="916">
        <v>0</v>
      </c>
      <c r="F80" s="916">
        <v>0</v>
      </c>
      <c r="G80" s="916">
        <v>0</v>
      </c>
      <c r="H80" s="916">
        <v>7103620</v>
      </c>
      <c r="I80" s="916">
        <v>64260</v>
      </c>
      <c r="J80" s="916">
        <v>37758390</v>
      </c>
      <c r="K80" s="916">
        <v>0</v>
      </c>
      <c r="L80" s="916">
        <v>0</v>
      </c>
      <c r="M80" s="916">
        <v>0</v>
      </c>
      <c r="N80" s="916">
        <f t="shared" si="16"/>
        <v>53315617</v>
      </c>
    </row>
    <row r="81" spans="1:14" hidden="1" x14ac:dyDescent="0.2">
      <c r="A81" s="2" t="s">
        <v>10</v>
      </c>
      <c r="B81" t="s">
        <v>142</v>
      </c>
      <c r="C81" s="916">
        <v>0</v>
      </c>
      <c r="D81" s="916">
        <v>0</v>
      </c>
      <c r="E81" s="916">
        <v>0</v>
      </c>
      <c r="F81" s="916">
        <v>0</v>
      </c>
      <c r="G81" s="916">
        <v>0</v>
      </c>
      <c r="H81" s="916">
        <v>0</v>
      </c>
      <c r="I81" s="916">
        <v>0</v>
      </c>
      <c r="J81" s="916">
        <v>0</v>
      </c>
      <c r="K81" s="916">
        <v>0</v>
      </c>
      <c r="L81" s="916">
        <v>0</v>
      </c>
      <c r="M81" s="916">
        <v>0</v>
      </c>
      <c r="N81" s="916">
        <f t="shared" si="16"/>
        <v>0</v>
      </c>
    </row>
    <row r="82" spans="1:14" x14ac:dyDescent="0.2">
      <c r="A82" s="2">
        <v>430</v>
      </c>
      <c r="B82" s="3" t="s">
        <v>548</v>
      </c>
      <c r="C82" s="916">
        <v>24732760</v>
      </c>
      <c r="D82" s="916">
        <v>0</v>
      </c>
      <c r="E82" s="916">
        <v>0</v>
      </c>
      <c r="F82" s="916">
        <v>0</v>
      </c>
      <c r="G82" s="916">
        <v>0</v>
      </c>
      <c r="H82" s="916">
        <v>0</v>
      </c>
      <c r="I82" s="916">
        <v>0</v>
      </c>
      <c r="J82" s="916">
        <v>2280</v>
      </c>
      <c r="K82" s="916">
        <v>0</v>
      </c>
      <c r="L82" s="916">
        <v>0</v>
      </c>
      <c r="M82" s="916">
        <v>0</v>
      </c>
      <c r="N82" s="916">
        <f t="shared" si="16"/>
        <v>24735040</v>
      </c>
    </row>
    <row r="83" spans="1:14" x14ac:dyDescent="0.2">
      <c r="A83" s="2">
        <v>440</v>
      </c>
      <c r="B83" t="s">
        <v>143</v>
      </c>
      <c r="C83" s="916">
        <v>1929689</v>
      </c>
      <c r="D83" s="916">
        <v>0</v>
      </c>
      <c r="E83" s="916">
        <v>0</v>
      </c>
      <c r="F83" s="916">
        <v>0</v>
      </c>
      <c r="G83" s="916">
        <v>0</v>
      </c>
      <c r="H83" s="916">
        <v>0</v>
      </c>
      <c r="I83" s="916">
        <v>0</v>
      </c>
      <c r="J83" s="916">
        <v>0</v>
      </c>
      <c r="K83" s="916">
        <v>0</v>
      </c>
      <c r="L83" s="916">
        <v>0</v>
      </c>
      <c r="M83" s="916">
        <v>0</v>
      </c>
      <c r="N83" s="916">
        <f t="shared" si="16"/>
        <v>1929689</v>
      </c>
    </row>
    <row r="84" spans="1:14" hidden="1" x14ac:dyDescent="0.2">
      <c r="A84" s="2">
        <v>500</v>
      </c>
      <c r="B84" t="s">
        <v>144</v>
      </c>
      <c r="C84" s="916">
        <v>0</v>
      </c>
      <c r="D84" s="916">
        <v>0</v>
      </c>
      <c r="E84" s="916">
        <v>0</v>
      </c>
      <c r="F84" s="916">
        <v>0</v>
      </c>
      <c r="G84" s="916">
        <v>0</v>
      </c>
      <c r="H84" s="916">
        <v>0</v>
      </c>
      <c r="I84" s="916">
        <v>0</v>
      </c>
      <c r="J84" s="916">
        <v>0</v>
      </c>
      <c r="K84" s="916">
        <v>0</v>
      </c>
      <c r="L84" s="916">
        <v>0</v>
      </c>
      <c r="M84" s="916">
        <v>0</v>
      </c>
      <c r="N84" s="916">
        <f t="shared" si="16"/>
        <v>0</v>
      </c>
    </row>
    <row r="85" spans="1:14" x14ac:dyDescent="0.2">
      <c r="A85" s="2">
        <v>600</v>
      </c>
      <c r="B85" t="s">
        <v>145</v>
      </c>
      <c r="C85" s="916">
        <v>238886</v>
      </c>
      <c r="D85" s="916">
        <v>0</v>
      </c>
      <c r="E85" s="916">
        <v>0</v>
      </c>
      <c r="F85" s="916">
        <v>0</v>
      </c>
      <c r="G85" s="916">
        <v>0</v>
      </c>
      <c r="H85" s="916">
        <v>354440</v>
      </c>
      <c r="I85" s="916">
        <v>0</v>
      </c>
      <c r="J85" s="916">
        <v>12871270</v>
      </c>
      <c r="K85" s="916">
        <v>0</v>
      </c>
      <c r="L85" s="916">
        <v>0</v>
      </c>
      <c r="M85" s="916">
        <v>0</v>
      </c>
      <c r="N85" s="916">
        <f t="shared" si="16"/>
        <v>13464596</v>
      </c>
    </row>
    <row r="86" spans="1:14" x14ac:dyDescent="0.2">
      <c r="A86" s="2">
        <v>800</v>
      </c>
      <c r="B86" t="s">
        <v>146</v>
      </c>
      <c r="C86" s="916">
        <v>0</v>
      </c>
      <c r="D86" s="916">
        <v>0</v>
      </c>
      <c r="E86" s="916">
        <v>0</v>
      </c>
      <c r="F86" s="916">
        <v>0</v>
      </c>
      <c r="G86" s="916">
        <v>0</v>
      </c>
      <c r="H86" s="916">
        <v>4330380</v>
      </c>
      <c r="I86" s="916">
        <v>0</v>
      </c>
      <c r="J86" s="916">
        <v>947810</v>
      </c>
      <c r="K86" s="916">
        <v>0</v>
      </c>
      <c r="L86" s="916">
        <v>0</v>
      </c>
      <c r="M86" s="916">
        <v>0</v>
      </c>
      <c r="N86" s="916">
        <f t="shared" si="16"/>
        <v>5278190</v>
      </c>
    </row>
    <row r="87" spans="1:14" x14ac:dyDescent="0.2">
      <c r="A87" s="2">
        <v>910</v>
      </c>
      <c r="B87" t="s">
        <v>147</v>
      </c>
      <c r="C87" s="916">
        <v>10334903</v>
      </c>
      <c r="D87" s="916">
        <v>0</v>
      </c>
      <c r="E87" s="916">
        <v>0</v>
      </c>
      <c r="F87" s="916">
        <v>0</v>
      </c>
      <c r="G87" s="916">
        <v>0</v>
      </c>
      <c r="H87" s="916">
        <v>0</v>
      </c>
      <c r="I87" s="916">
        <v>82000000</v>
      </c>
      <c r="J87" s="916">
        <v>0</v>
      </c>
      <c r="K87" s="916">
        <v>0</v>
      </c>
      <c r="L87" s="916">
        <v>0</v>
      </c>
      <c r="M87" s="916">
        <v>0</v>
      </c>
      <c r="N87" s="916">
        <f t="shared" si="16"/>
        <v>92334903</v>
      </c>
    </row>
    <row r="88" spans="1:14" x14ac:dyDescent="0.2">
      <c r="A88" s="2">
        <v>920</v>
      </c>
      <c r="B88" t="s">
        <v>148</v>
      </c>
      <c r="C88" s="916">
        <v>7458810</v>
      </c>
      <c r="D88" s="916">
        <v>0</v>
      </c>
      <c r="E88" s="916">
        <v>0</v>
      </c>
      <c r="F88" s="916">
        <v>0</v>
      </c>
      <c r="G88" s="916">
        <v>0</v>
      </c>
      <c r="H88" s="916">
        <v>0</v>
      </c>
      <c r="I88" s="916">
        <v>0</v>
      </c>
      <c r="J88" s="916">
        <v>0</v>
      </c>
      <c r="K88" s="916">
        <v>0</v>
      </c>
      <c r="L88" s="916">
        <v>0</v>
      </c>
      <c r="M88" s="916">
        <v>0</v>
      </c>
      <c r="N88" s="916">
        <f t="shared" si="16"/>
        <v>7458810</v>
      </c>
    </row>
    <row r="89" spans="1:14" x14ac:dyDescent="0.2">
      <c r="C89" s="916"/>
      <c r="D89" s="916"/>
      <c r="E89" s="916"/>
      <c r="F89" s="916"/>
      <c r="G89" s="916"/>
      <c r="H89" s="916"/>
      <c r="I89" s="916"/>
      <c r="J89" s="916"/>
      <c r="K89" s="916"/>
      <c r="L89" s="916"/>
      <c r="M89" s="916"/>
      <c r="N89" s="916"/>
    </row>
    <row r="90" spans="1:14" x14ac:dyDescent="0.2">
      <c r="A90" s="2" t="s">
        <v>149</v>
      </c>
      <c r="B90" s="2" t="s">
        <v>150</v>
      </c>
      <c r="C90" s="916"/>
      <c r="D90" s="916"/>
      <c r="E90" s="916"/>
      <c r="F90" s="916"/>
      <c r="G90" s="916"/>
      <c r="H90" s="916"/>
      <c r="I90" s="916"/>
      <c r="J90" s="916"/>
      <c r="K90" s="916"/>
      <c r="L90" s="916"/>
      <c r="M90" s="916"/>
      <c r="N90" s="916"/>
    </row>
    <row r="91" spans="1:14" x14ac:dyDescent="0.2">
      <c r="A91" s="2">
        <v>2100</v>
      </c>
      <c r="B91" t="s">
        <v>151</v>
      </c>
      <c r="C91" s="916">
        <v>84471979</v>
      </c>
      <c r="D91" s="916">
        <v>275759</v>
      </c>
      <c r="E91" s="916">
        <v>0</v>
      </c>
      <c r="F91" s="916">
        <v>0</v>
      </c>
      <c r="G91" s="916">
        <v>0</v>
      </c>
      <c r="H91" s="916">
        <v>9644820</v>
      </c>
      <c r="I91" s="916">
        <v>3500</v>
      </c>
      <c r="J91" s="916">
        <v>8528820</v>
      </c>
      <c r="K91" s="916">
        <v>0</v>
      </c>
      <c r="L91" s="916">
        <v>0</v>
      </c>
      <c r="M91" s="916">
        <v>0</v>
      </c>
      <c r="N91" s="916">
        <f t="shared" ref="N91:N117" si="17">SUM(C91:M91)</f>
        <v>102924878</v>
      </c>
    </row>
    <row r="92" spans="1:14" x14ac:dyDescent="0.2">
      <c r="A92" s="2">
        <v>2200</v>
      </c>
      <c r="B92" t="s">
        <v>152</v>
      </c>
      <c r="C92" s="916">
        <v>53031447</v>
      </c>
      <c r="D92" s="916">
        <v>0</v>
      </c>
      <c r="E92" s="916">
        <v>0</v>
      </c>
      <c r="F92" s="916">
        <v>0</v>
      </c>
      <c r="G92" s="916">
        <v>1510000</v>
      </c>
      <c r="H92" s="916">
        <v>31894320</v>
      </c>
      <c r="I92" s="916">
        <v>10919104</v>
      </c>
      <c r="J92" s="916">
        <v>26030110</v>
      </c>
      <c r="K92" s="916">
        <v>0</v>
      </c>
      <c r="L92" s="916">
        <v>0</v>
      </c>
      <c r="M92" s="916">
        <v>0</v>
      </c>
      <c r="N92" s="916">
        <f t="shared" si="17"/>
        <v>123384981</v>
      </c>
    </row>
    <row r="93" spans="1:14" x14ac:dyDescent="0.2">
      <c r="A93" s="2">
        <v>2300</v>
      </c>
      <c r="B93" t="s">
        <v>153</v>
      </c>
      <c r="C93" s="916">
        <v>36138180</v>
      </c>
      <c r="D93" s="916">
        <v>0</v>
      </c>
      <c r="E93" s="916">
        <v>0</v>
      </c>
      <c r="F93" s="916">
        <v>0</v>
      </c>
      <c r="G93" s="916">
        <v>0</v>
      </c>
      <c r="H93" s="916">
        <v>0</v>
      </c>
      <c r="I93" s="916">
        <v>0</v>
      </c>
      <c r="J93" s="916">
        <v>0</v>
      </c>
      <c r="K93" s="916">
        <v>0</v>
      </c>
      <c r="L93" s="916">
        <v>0</v>
      </c>
      <c r="M93" s="916">
        <v>0</v>
      </c>
      <c r="N93" s="916">
        <f t="shared" si="17"/>
        <v>36138180</v>
      </c>
    </row>
    <row r="94" spans="1:14" x14ac:dyDescent="0.2">
      <c r="A94" s="2">
        <v>2400</v>
      </c>
      <c r="B94" t="s">
        <v>154</v>
      </c>
      <c r="C94" s="916">
        <v>219327688</v>
      </c>
      <c r="D94" s="916">
        <v>0</v>
      </c>
      <c r="E94" s="916">
        <v>0</v>
      </c>
      <c r="F94" s="916">
        <v>0</v>
      </c>
      <c r="G94" s="916">
        <v>0</v>
      </c>
      <c r="H94" s="916">
        <v>397630</v>
      </c>
      <c r="I94" s="916">
        <v>0</v>
      </c>
      <c r="J94" s="916">
        <v>1763680</v>
      </c>
      <c r="K94" s="916">
        <v>0</v>
      </c>
      <c r="L94" s="916">
        <v>0</v>
      </c>
      <c r="M94" s="916">
        <v>0</v>
      </c>
      <c r="N94" s="916">
        <f t="shared" si="17"/>
        <v>221488998</v>
      </c>
    </row>
    <row r="95" spans="1:14" x14ac:dyDescent="0.2">
      <c r="A95" s="2">
        <v>2500</v>
      </c>
      <c r="B95" t="s">
        <v>155</v>
      </c>
      <c r="C95" s="916">
        <v>50522237</v>
      </c>
      <c r="D95" s="916">
        <v>121073</v>
      </c>
      <c r="E95" s="916">
        <v>0</v>
      </c>
      <c r="F95" s="916">
        <v>0</v>
      </c>
      <c r="G95" s="916">
        <v>2805000</v>
      </c>
      <c r="H95" s="916">
        <v>5124440</v>
      </c>
      <c r="I95" s="916">
        <v>0</v>
      </c>
      <c r="J95" s="916">
        <v>4013170</v>
      </c>
      <c r="K95" s="916">
        <v>0</v>
      </c>
      <c r="L95" s="916">
        <v>0</v>
      </c>
      <c r="M95" s="916">
        <v>0</v>
      </c>
      <c r="N95" s="916">
        <f t="shared" si="17"/>
        <v>62585920</v>
      </c>
    </row>
    <row r="96" spans="1:14" x14ac:dyDescent="0.2">
      <c r="A96" s="2">
        <v>2600</v>
      </c>
      <c r="B96" t="s">
        <v>156</v>
      </c>
      <c r="C96" s="916">
        <v>255835825</v>
      </c>
      <c r="D96" s="916">
        <v>0</v>
      </c>
      <c r="E96" s="916">
        <v>0</v>
      </c>
      <c r="F96" s="916">
        <v>0</v>
      </c>
      <c r="G96" s="916">
        <v>4695000</v>
      </c>
      <c r="H96" s="916">
        <v>227270</v>
      </c>
      <c r="I96" s="916">
        <v>0</v>
      </c>
      <c r="J96" s="916">
        <v>42004910</v>
      </c>
      <c r="K96" s="916">
        <v>0</v>
      </c>
      <c r="L96" s="916">
        <v>0</v>
      </c>
      <c r="M96" s="916">
        <v>0</v>
      </c>
      <c r="N96" s="916">
        <f t="shared" si="17"/>
        <v>302763005</v>
      </c>
    </row>
    <row r="97" spans="1:14" x14ac:dyDescent="0.2">
      <c r="A97" s="2">
        <v>2700</v>
      </c>
      <c r="B97" t="s">
        <v>157</v>
      </c>
      <c r="C97" s="916">
        <v>91107515</v>
      </c>
      <c r="D97" s="916">
        <v>72601641</v>
      </c>
      <c r="E97" s="916">
        <v>0</v>
      </c>
      <c r="F97" s="916">
        <v>0</v>
      </c>
      <c r="G97" s="916">
        <v>5000</v>
      </c>
      <c r="H97" s="916">
        <v>1232330</v>
      </c>
      <c r="I97" s="916">
        <v>0</v>
      </c>
      <c r="J97" s="916">
        <v>203790</v>
      </c>
      <c r="K97" s="916">
        <v>0</v>
      </c>
      <c r="L97" s="916">
        <v>0</v>
      </c>
      <c r="M97" s="916">
        <v>0</v>
      </c>
      <c r="N97" s="916">
        <f t="shared" si="17"/>
        <v>165150276</v>
      </c>
    </row>
    <row r="98" spans="1:14" x14ac:dyDescent="0.2">
      <c r="A98" s="2">
        <v>2900</v>
      </c>
      <c r="B98" t="s">
        <v>158</v>
      </c>
      <c r="C98" s="916">
        <v>0</v>
      </c>
      <c r="D98" s="916">
        <v>0</v>
      </c>
      <c r="E98" s="916">
        <v>0</v>
      </c>
      <c r="F98" s="916">
        <v>0</v>
      </c>
      <c r="G98" s="916">
        <v>500000</v>
      </c>
      <c r="H98" s="916">
        <v>3854230</v>
      </c>
      <c r="I98" s="916">
        <v>0</v>
      </c>
      <c r="J98" s="916">
        <v>0</v>
      </c>
      <c r="K98" s="916">
        <v>0</v>
      </c>
      <c r="L98" s="916">
        <v>0</v>
      </c>
      <c r="M98" s="916">
        <v>0</v>
      </c>
      <c r="N98" s="916">
        <f t="shared" si="17"/>
        <v>4354230</v>
      </c>
    </row>
    <row r="99" spans="1:14" hidden="1" x14ac:dyDescent="0.2">
      <c r="A99" s="2">
        <v>3000</v>
      </c>
      <c r="B99" t="s">
        <v>159</v>
      </c>
      <c r="C99" s="916">
        <v>0</v>
      </c>
      <c r="D99" s="916">
        <v>0</v>
      </c>
      <c r="E99" s="916">
        <v>0</v>
      </c>
      <c r="F99" s="916">
        <v>0</v>
      </c>
      <c r="G99" s="916">
        <v>0</v>
      </c>
      <c r="H99" s="916">
        <v>0</v>
      </c>
      <c r="I99" s="916">
        <v>0</v>
      </c>
      <c r="J99" s="916">
        <v>0</v>
      </c>
      <c r="K99" s="916">
        <v>0</v>
      </c>
      <c r="L99" s="916">
        <v>0</v>
      </c>
      <c r="M99" s="916">
        <v>0</v>
      </c>
      <c r="N99" s="916">
        <f t="shared" si="17"/>
        <v>0</v>
      </c>
    </row>
    <row r="100" spans="1:14" hidden="1" x14ac:dyDescent="0.2">
      <c r="A100" s="2">
        <v>3100</v>
      </c>
      <c r="B100" t="s">
        <v>160</v>
      </c>
      <c r="C100" s="916">
        <v>0</v>
      </c>
      <c r="D100" s="916">
        <v>0</v>
      </c>
      <c r="E100" s="916">
        <v>0</v>
      </c>
      <c r="F100" s="916">
        <v>0</v>
      </c>
      <c r="G100" s="916">
        <v>0</v>
      </c>
      <c r="H100" s="916">
        <v>0</v>
      </c>
      <c r="I100" s="916">
        <v>0</v>
      </c>
      <c r="J100" s="916">
        <v>0</v>
      </c>
      <c r="K100" s="916">
        <v>0</v>
      </c>
      <c r="L100" s="916">
        <v>0</v>
      </c>
      <c r="M100" s="916">
        <v>0</v>
      </c>
      <c r="N100" s="916">
        <f t="shared" si="17"/>
        <v>0</v>
      </c>
    </row>
    <row r="101" spans="1:14" hidden="1" x14ac:dyDescent="0.2">
      <c r="A101" s="2">
        <v>3200</v>
      </c>
      <c r="B101" t="s">
        <v>161</v>
      </c>
      <c r="C101" s="916">
        <v>0</v>
      </c>
      <c r="D101" s="916">
        <v>0</v>
      </c>
      <c r="E101" s="916">
        <v>0</v>
      </c>
      <c r="F101" s="916">
        <v>0</v>
      </c>
      <c r="G101" s="916">
        <v>0</v>
      </c>
      <c r="H101" s="916">
        <v>0</v>
      </c>
      <c r="I101" s="916">
        <v>0</v>
      </c>
      <c r="J101" s="916">
        <v>0</v>
      </c>
      <c r="K101" s="916">
        <v>0</v>
      </c>
      <c r="L101" s="916">
        <v>0</v>
      </c>
      <c r="M101" s="916">
        <v>0</v>
      </c>
      <c r="N101" s="916">
        <f t="shared" si="17"/>
        <v>0</v>
      </c>
    </row>
    <row r="102" spans="1:14" hidden="1" x14ac:dyDescent="0.2">
      <c r="A102" s="2">
        <v>3300</v>
      </c>
      <c r="B102" t="s">
        <v>162</v>
      </c>
      <c r="C102" s="916">
        <v>0</v>
      </c>
      <c r="D102" s="916">
        <v>0</v>
      </c>
      <c r="E102" s="916">
        <v>0</v>
      </c>
      <c r="F102" s="916">
        <v>0</v>
      </c>
      <c r="G102" s="916">
        <v>0</v>
      </c>
      <c r="H102" s="916">
        <v>0</v>
      </c>
      <c r="I102" s="916">
        <v>0</v>
      </c>
      <c r="J102" s="916">
        <v>0</v>
      </c>
      <c r="K102" s="916">
        <v>0</v>
      </c>
      <c r="L102" s="916">
        <v>0</v>
      </c>
      <c r="M102" s="916">
        <v>0</v>
      </c>
      <c r="N102" s="916">
        <f t="shared" si="17"/>
        <v>0</v>
      </c>
    </row>
    <row r="103" spans="1:14" hidden="1" x14ac:dyDescent="0.2">
      <c r="A103" s="2">
        <v>4000</v>
      </c>
      <c r="B103" t="s">
        <v>164</v>
      </c>
      <c r="C103" s="916">
        <v>0</v>
      </c>
      <c r="D103" s="916">
        <v>0</v>
      </c>
      <c r="E103" s="916">
        <v>0</v>
      </c>
      <c r="F103" s="916">
        <v>0</v>
      </c>
      <c r="G103" s="916">
        <v>0</v>
      </c>
      <c r="H103" s="916">
        <v>0</v>
      </c>
      <c r="I103" s="916">
        <v>0</v>
      </c>
      <c r="J103" s="916">
        <v>0</v>
      </c>
      <c r="K103" s="916">
        <v>0</v>
      </c>
      <c r="L103" s="916">
        <v>0</v>
      </c>
      <c r="M103" s="916">
        <v>0</v>
      </c>
      <c r="N103" s="916">
        <f t="shared" si="17"/>
        <v>0</v>
      </c>
    </row>
    <row r="104" spans="1:14" x14ac:dyDescent="0.2">
      <c r="A104" s="2">
        <v>4100</v>
      </c>
      <c r="B104" t="s">
        <v>163</v>
      </c>
      <c r="C104" s="916">
        <v>0</v>
      </c>
      <c r="D104" s="916">
        <v>0</v>
      </c>
      <c r="E104" s="916">
        <v>0</v>
      </c>
      <c r="F104" s="916">
        <v>235000</v>
      </c>
      <c r="G104" s="916">
        <v>55000000</v>
      </c>
      <c r="H104" s="916">
        <v>0</v>
      </c>
      <c r="I104" s="916">
        <v>0</v>
      </c>
      <c r="J104" s="916">
        <v>0</v>
      </c>
      <c r="K104" s="916">
        <v>0</v>
      </c>
      <c r="L104" s="916">
        <v>0</v>
      </c>
      <c r="M104" s="916">
        <v>0</v>
      </c>
      <c r="N104" s="916">
        <f t="shared" si="17"/>
        <v>55235000</v>
      </c>
    </row>
    <row r="105" spans="1:14" x14ac:dyDescent="0.2">
      <c r="A105" s="2">
        <v>4200</v>
      </c>
      <c r="B105" t="s">
        <v>165</v>
      </c>
      <c r="C105" s="916">
        <v>0</v>
      </c>
      <c r="D105" s="916">
        <v>0</v>
      </c>
      <c r="E105" s="916">
        <v>0</v>
      </c>
      <c r="F105" s="916">
        <v>365000</v>
      </c>
      <c r="G105" s="916">
        <v>67785000</v>
      </c>
      <c r="H105" s="916">
        <v>0</v>
      </c>
      <c r="I105" s="916">
        <v>0</v>
      </c>
      <c r="J105" s="916">
        <v>0</v>
      </c>
      <c r="K105" s="916">
        <v>0</v>
      </c>
      <c r="L105" s="916">
        <v>0</v>
      </c>
      <c r="M105" s="916">
        <v>0</v>
      </c>
      <c r="N105" s="916">
        <f t="shared" si="17"/>
        <v>68150000</v>
      </c>
    </row>
    <row r="106" spans="1:14" hidden="1" x14ac:dyDescent="0.2">
      <c r="A106" s="2">
        <v>4300</v>
      </c>
      <c r="B106" t="s">
        <v>166</v>
      </c>
      <c r="C106" s="916">
        <v>0</v>
      </c>
      <c r="D106" s="916">
        <v>0</v>
      </c>
      <c r="E106" s="916">
        <v>0</v>
      </c>
      <c r="F106" s="916">
        <v>0</v>
      </c>
      <c r="G106" s="916">
        <v>0</v>
      </c>
      <c r="H106" s="916">
        <v>0</v>
      </c>
      <c r="I106" s="916">
        <v>0</v>
      </c>
      <c r="J106" s="916">
        <v>0</v>
      </c>
      <c r="K106" s="916">
        <v>0</v>
      </c>
      <c r="L106" s="916">
        <v>0</v>
      </c>
      <c r="M106" s="916">
        <v>0</v>
      </c>
      <c r="N106" s="916">
        <f t="shared" si="17"/>
        <v>0</v>
      </c>
    </row>
    <row r="107" spans="1:14" hidden="1" x14ac:dyDescent="0.2">
      <c r="A107" s="2">
        <v>4400</v>
      </c>
      <c r="B107" t="s">
        <v>167</v>
      </c>
      <c r="C107" s="916">
        <v>0</v>
      </c>
      <c r="D107" s="916">
        <v>0</v>
      </c>
      <c r="E107" s="916">
        <v>0</v>
      </c>
      <c r="F107" s="916">
        <v>0</v>
      </c>
      <c r="G107" s="916">
        <v>0</v>
      </c>
      <c r="H107" s="916">
        <v>0</v>
      </c>
      <c r="I107" s="916">
        <v>0</v>
      </c>
      <c r="J107" s="916">
        <v>0</v>
      </c>
      <c r="K107" s="916">
        <v>0</v>
      </c>
      <c r="L107" s="916">
        <v>0</v>
      </c>
      <c r="M107" s="916">
        <v>0</v>
      </c>
      <c r="N107" s="916">
        <f t="shared" si="17"/>
        <v>0</v>
      </c>
    </row>
    <row r="108" spans="1:14" x14ac:dyDescent="0.2">
      <c r="A108" s="2">
        <v>4500</v>
      </c>
      <c r="B108" t="s">
        <v>168</v>
      </c>
      <c r="C108" s="916">
        <v>0</v>
      </c>
      <c r="D108" s="916">
        <v>0</v>
      </c>
      <c r="E108" s="916">
        <v>0</v>
      </c>
      <c r="F108" s="916">
        <v>0</v>
      </c>
      <c r="G108" s="916">
        <v>232502500</v>
      </c>
      <c r="H108" s="916">
        <v>0</v>
      </c>
      <c r="I108" s="916">
        <v>0</v>
      </c>
      <c r="J108" s="916">
        <v>0</v>
      </c>
      <c r="K108" s="916">
        <v>0</v>
      </c>
      <c r="L108" s="916">
        <v>0</v>
      </c>
      <c r="M108" s="916">
        <v>0</v>
      </c>
      <c r="N108" s="916">
        <f t="shared" si="17"/>
        <v>232502500</v>
      </c>
    </row>
    <row r="109" spans="1:14" hidden="1" x14ac:dyDescent="0.2">
      <c r="A109" s="2">
        <v>4600</v>
      </c>
      <c r="B109" t="s">
        <v>169</v>
      </c>
      <c r="C109" s="916">
        <v>0</v>
      </c>
      <c r="D109" s="916">
        <v>0</v>
      </c>
      <c r="E109" s="916">
        <v>0</v>
      </c>
      <c r="F109" s="916">
        <v>0</v>
      </c>
      <c r="G109" s="916">
        <v>0</v>
      </c>
      <c r="H109" s="916">
        <v>0</v>
      </c>
      <c r="I109" s="916">
        <v>0</v>
      </c>
      <c r="J109" s="916">
        <v>0</v>
      </c>
      <c r="K109" s="916">
        <v>0</v>
      </c>
      <c r="L109" s="916">
        <v>0</v>
      </c>
      <c r="M109" s="916">
        <v>0</v>
      </c>
      <c r="N109" s="916">
        <f t="shared" si="17"/>
        <v>0</v>
      </c>
    </row>
    <row r="110" spans="1:14" ht="11.45" customHeight="1" x14ac:dyDescent="0.2">
      <c r="A110" s="2">
        <v>4700</v>
      </c>
      <c r="B110" t="s">
        <v>170</v>
      </c>
      <c r="C110" s="916">
        <v>0</v>
      </c>
      <c r="D110" s="916">
        <v>0</v>
      </c>
      <c r="E110" s="916">
        <v>0</v>
      </c>
      <c r="F110" s="916">
        <v>0</v>
      </c>
      <c r="G110" s="916">
        <v>290467500</v>
      </c>
      <c r="H110" s="916">
        <v>0</v>
      </c>
      <c r="I110" s="916">
        <v>0</v>
      </c>
      <c r="J110" s="916">
        <v>0</v>
      </c>
      <c r="K110" s="916">
        <v>0</v>
      </c>
      <c r="L110" s="916">
        <v>0</v>
      </c>
      <c r="M110" s="916">
        <v>0</v>
      </c>
      <c r="N110" s="916">
        <f t="shared" si="17"/>
        <v>290467500</v>
      </c>
    </row>
    <row r="111" spans="1:14" x14ac:dyDescent="0.2">
      <c r="A111" s="2">
        <v>4900</v>
      </c>
      <c r="B111" t="s">
        <v>171</v>
      </c>
      <c r="C111" s="916">
        <v>0</v>
      </c>
      <c r="D111" s="916">
        <v>0</v>
      </c>
      <c r="E111" s="916">
        <v>0</v>
      </c>
      <c r="F111" s="916">
        <v>0</v>
      </c>
      <c r="G111" s="916">
        <v>18875000</v>
      </c>
      <c r="H111" s="916">
        <v>0</v>
      </c>
      <c r="I111" s="916">
        <v>0</v>
      </c>
      <c r="J111" s="916">
        <v>0</v>
      </c>
      <c r="K111" s="916">
        <v>0</v>
      </c>
      <c r="L111" s="916">
        <v>0</v>
      </c>
      <c r="M111" s="916">
        <v>0</v>
      </c>
      <c r="N111" s="916">
        <f t="shared" si="17"/>
        <v>18875000</v>
      </c>
    </row>
    <row r="112" spans="1:14" hidden="1" x14ac:dyDescent="0.2">
      <c r="A112" s="2">
        <v>5000</v>
      </c>
      <c r="B112" t="s">
        <v>172</v>
      </c>
      <c r="C112" s="916">
        <v>0</v>
      </c>
      <c r="D112" s="916">
        <v>0</v>
      </c>
      <c r="E112" s="916">
        <v>0</v>
      </c>
      <c r="F112" s="916">
        <v>0</v>
      </c>
      <c r="G112" s="916">
        <v>0</v>
      </c>
      <c r="H112" s="916">
        <v>0</v>
      </c>
      <c r="I112" s="916">
        <v>0</v>
      </c>
      <c r="J112" s="916">
        <v>0</v>
      </c>
      <c r="K112" s="916">
        <v>0</v>
      </c>
      <c r="L112" s="916">
        <v>0</v>
      </c>
      <c r="M112" s="916">
        <v>0</v>
      </c>
      <c r="N112" s="916">
        <f t="shared" si="17"/>
        <v>0</v>
      </c>
    </row>
    <row r="113" spans="1:14" x14ac:dyDescent="0.2">
      <c r="A113" s="2">
        <v>5000</v>
      </c>
      <c r="B113" t="s">
        <v>173</v>
      </c>
      <c r="C113" s="916">
        <v>0</v>
      </c>
      <c r="D113" s="916">
        <v>0</v>
      </c>
      <c r="E113" s="916">
        <v>627105914</v>
      </c>
      <c r="F113" s="916">
        <v>0</v>
      </c>
      <c r="G113" s="916">
        <v>0</v>
      </c>
      <c r="H113" s="916">
        <v>0</v>
      </c>
      <c r="I113" s="916">
        <v>0</v>
      </c>
      <c r="J113" s="916">
        <v>0</v>
      </c>
      <c r="K113" s="916">
        <v>0</v>
      </c>
      <c r="L113" s="916">
        <v>0</v>
      </c>
      <c r="M113" s="916">
        <v>0</v>
      </c>
      <c r="N113" s="916">
        <f t="shared" si="17"/>
        <v>627105914</v>
      </c>
    </row>
    <row r="114" spans="1:14" x14ac:dyDescent="0.2">
      <c r="A114" s="2">
        <v>6100</v>
      </c>
      <c r="B114" t="s">
        <v>174</v>
      </c>
      <c r="C114" s="916">
        <v>0</v>
      </c>
      <c r="D114" s="916">
        <v>2322000</v>
      </c>
      <c r="E114" s="916">
        <v>0</v>
      </c>
      <c r="F114" s="916">
        <v>0</v>
      </c>
      <c r="G114" s="916">
        <v>0</v>
      </c>
      <c r="H114" s="916">
        <v>4625300</v>
      </c>
      <c r="I114" s="916">
        <v>1113600</v>
      </c>
      <c r="J114" s="916">
        <v>1023270</v>
      </c>
      <c r="K114" s="916">
        <v>0</v>
      </c>
      <c r="L114" s="916">
        <v>0</v>
      </c>
      <c r="M114" s="916">
        <v>0</v>
      </c>
      <c r="N114" s="916">
        <f t="shared" si="17"/>
        <v>9084170</v>
      </c>
    </row>
    <row r="115" spans="1:14" x14ac:dyDescent="0.2">
      <c r="A115" s="2">
        <v>6200</v>
      </c>
      <c r="B115" t="s">
        <v>175</v>
      </c>
      <c r="C115" s="916">
        <v>359636566</v>
      </c>
      <c r="D115" s="916">
        <v>0</v>
      </c>
      <c r="E115" s="916">
        <v>0</v>
      </c>
      <c r="F115" s="916">
        <v>0</v>
      </c>
      <c r="G115" s="916">
        <v>204953840</v>
      </c>
      <c r="H115" s="916">
        <v>0</v>
      </c>
      <c r="I115" s="916">
        <v>0</v>
      </c>
      <c r="J115" s="916">
        <v>0</v>
      </c>
      <c r="K115" s="916">
        <v>0</v>
      </c>
      <c r="L115" s="916">
        <v>0</v>
      </c>
      <c r="M115" s="916">
        <v>0</v>
      </c>
      <c r="N115" s="916">
        <f t="shared" si="17"/>
        <v>564590406</v>
      </c>
    </row>
    <row r="116" spans="1:14" x14ac:dyDescent="0.2">
      <c r="A116" s="2">
        <v>6300</v>
      </c>
      <c r="B116" t="s">
        <v>176</v>
      </c>
      <c r="C116" s="916">
        <v>0</v>
      </c>
      <c r="D116" s="916">
        <v>0</v>
      </c>
      <c r="E116" s="916">
        <v>0</v>
      </c>
      <c r="F116" s="916">
        <v>0</v>
      </c>
      <c r="G116" s="916">
        <v>0</v>
      </c>
      <c r="H116" s="916">
        <v>0</v>
      </c>
      <c r="I116" s="916">
        <v>0</v>
      </c>
      <c r="J116" s="916">
        <v>0</v>
      </c>
      <c r="K116" s="916">
        <v>0</v>
      </c>
      <c r="L116" s="916">
        <v>0</v>
      </c>
      <c r="M116" s="916">
        <v>0</v>
      </c>
      <c r="N116" s="916">
        <f t="shared" si="17"/>
        <v>0</v>
      </c>
    </row>
    <row r="117" spans="1:14" x14ac:dyDescent="0.2">
      <c r="A117" s="2">
        <v>8000</v>
      </c>
      <c r="B117" t="s">
        <v>177</v>
      </c>
      <c r="C117" s="916">
        <v>95066000</v>
      </c>
      <c r="D117" s="916">
        <v>0</v>
      </c>
      <c r="E117" s="916">
        <v>0</v>
      </c>
      <c r="F117" s="916">
        <v>10715416</v>
      </c>
      <c r="G117" s="916">
        <v>575712940</v>
      </c>
      <c r="H117" s="916">
        <v>5679275</v>
      </c>
      <c r="I117" s="916">
        <v>36109070</v>
      </c>
      <c r="J117" s="916">
        <v>0</v>
      </c>
      <c r="K117" s="916">
        <v>80411693</v>
      </c>
      <c r="L117" s="916">
        <v>10736862</v>
      </c>
      <c r="M117" s="916">
        <v>0</v>
      </c>
      <c r="N117" s="916">
        <f t="shared" si="17"/>
        <v>814431256</v>
      </c>
    </row>
    <row r="118" spans="1:14" x14ac:dyDescent="0.2">
      <c r="C118" s="916"/>
      <c r="D118" s="916"/>
      <c r="E118" s="916"/>
      <c r="F118" s="916"/>
      <c r="G118" s="916"/>
      <c r="H118" s="916"/>
      <c r="I118" s="916"/>
      <c r="J118" s="916"/>
      <c r="K118" s="916"/>
      <c r="L118" s="916"/>
      <c r="M118" s="916"/>
      <c r="N118" s="916"/>
    </row>
    <row r="119" spans="1:14" s="2" customFormat="1" x14ac:dyDescent="0.2">
      <c r="A119" s="53"/>
      <c r="B119" s="2" t="s">
        <v>308</v>
      </c>
      <c r="C119" s="931">
        <v>0</v>
      </c>
      <c r="D119" s="931">
        <v>0</v>
      </c>
      <c r="E119" s="931">
        <v>0</v>
      </c>
      <c r="F119" s="931">
        <v>0</v>
      </c>
      <c r="G119" s="931">
        <v>0</v>
      </c>
      <c r="H119" s="931">
        <v>0</v>
      </c>
      <c r="I119" s="931">
        <v>0</v>
      </c>
      <c r="J119" s="931">
        <v>0</v>
      </c>
      <c r="K119" s="931">
        <v>0</v>
      </c>
      <c r="L119" s="931">
        <v>0</v>
      </c>
      <c r="M119" s="931">
        <v>0</v>
      </c>
      <c r="N119" s="931">
        <f t="shared" ref="N119:N182" si="18">SUM(C119:M119)</f>
        <v>0</v>
      </c>
    </row>
    <row r="120" spans="1:14" hidden="1" x14ac:dyDescent="0.2">
      <c r="B120" t="s">
        <v>179</v>
      </c>
      <c r="C120" s="916">
        <v>0</v>
      </c>
      <c r="D120" s="916">
        <v>0</v>
      </c>
      <c r="E120" s="916">
        <v>0</v>
      </c>
      <c r="F120" s="916">
        <v>0</v>
      </c>
      <c r="G120" s="916">
        <v>0</v>
      </c>
      <c r="H120" s="916">
        <v>0</v>
      </c>
      <c r="I120" s="916">
        <v>0</v>
      </c>
      <c r="J120" s="916">
        <v>0</v>
      </c>
      <c r="K120" s="916">
        <v>0</v>
      </c>
      <c r="L120" s="916">
        <v>0</v>
      </c>
      <c r="M120" s="916">
        <v>0</v>
      </c>
      <c r="N120" s="916">
        <f t="shared" si="18"/>
        <v>0</v>
      </c>
    </row>
    <row r="121" spans="1:14" hidden="1" x14ac:dyDescent="0.2">
      <c r="B121" t="s">
        <v>145</v>
      </c>
      <c r="C121" s="916">
        <v>0</v>
      </c>
      <c r="D121" s="916">
        <v>0</v>
      </c>
      <c r="E121" s="916">
        <v>0</v>
      </c>
      <c r="F121" s="916">
        <v>0</v>
      </c>
      <c r="G121" s="916">
        <v>0</v>
      </c>
      <c r="H121" s="916">
        <v>0</v>
      </c>
      <c r="I121" s="916">
        <v>0</v>
      </c>
      <c r="J121" s="916">
        <v>0</v>
      </c>
      <c r="K121" s="916">
        <v>0</v>
      </c>
      <c r="L121" s="916">
        <v>0</v>
      </c>
      <c r="M121" s="916">
        <v>0</v>
      </c>
      <c r="N121" s="916">
        <f t="shared" si="18"/>
        <v>0</v>
      </c>
    </row>
    <row r="122" spans="1:14" hidden="1" x14ac:dyDescent="0.2">
      <c r="B122" t="s">
        <v>180</v>
      </c>
      <c r="C122" s="916">
        <v>0</v>
      </c>
      <c r="D122" s="916">
        <v>0</v>
      </c>
      <c r="E122" s="916">
        <v>0</v>
      </c>
      <c r="F122" s="916">
        <v>0</v>
      </c>
      <c r="G122" s="916">
        <v>0</v>
      </c>
      <c r="H122" s="916">
        <v>0</v>
      </c>
      <c r="I122" s="916">
        <v>0</v>
      </c>
      <c r="J122" s="916">
        <v>0</v>
      </c>
      <c r="K122" s="916">
        <v>0</v>
      </c>
      <c r="L122" s="916">
        <v>0</v>
      </c>
      <c r="M122" s="916">
        <v>0</v>
      </c>
      <c r="N122" s="916">
        <f t="shared" si="18"/>
        <v>0</v>
      </c>
    </row>
    <row r="123" spans="1:14" hidden="1" x14ac:dyDescent="0.2">
      <c r="B123" t="s">
        <v>181</v>
      </c>
      <c r="C123" s="916">
        <v>0</v>
      </c>
      <c r="D123" s="916">
        <v>0</v>
      </c>
      <c r="E123" s="916">
        <v>0</v>
      </c>
      <c r="F123" s="916">
        <v>0</v>
      </c>
      <c r="G123" s="916">
        <v>0</v>
      </c>
      <c r="H123" s="916">
        <v>0</v>
      </c>
      <c r="I123" s="916">
        <v>0</v>
      </c>
      <c r="J123" s="916">
        <v>0</v>
      </c>
      <c r="K123" s="916">
        <v>0</v>
      </c>
      <c r="L123" s="916">
        <v>0</v>
      </c>
      <c r="M123" s="916">
        <v>0</v>
      </c>
      <c r="N123" s="916">
        <f t="shared" si="18"/>
        <v>0</v>
      </c>
    </row>
    <row r="124" spans="1:14" hidden="1" x14ac:dyDescent="0.2">
      <c r="B124" t="s">
        <v>182</v>
      </c>
      <c r="C124" s="916">
        <v>0</v>
      </c>
      <c r="D124" s="916">
        <v>0</v>
      </c>
      <c r="E124" s="916">
        <v>0</v>
      </c>
      <c r="F124" s="916">
        <v>0</v>
      </c>
      <c r="G124" s="916">
        <v>0</v>
      </c>
      <c r="H124" s="916">
        <v>0</v>
      </c>
      <c r="I124" s="916">
        <v>0</v>
      </c>
      <c r="J124" s="916">
        <v>0</v>
      </c>
      <c r="K124" s="916">
        <v>0</v>
      </c>
      <c r="L124" s="916">
        <v>0</v>
      </c>
      <c r="M124" s="916">
        <v>0</v>
      </c>
      <c r="N124" s="916">
        <f t="shared" si="18"/>
        <v>0</v>
      </c>
    </row>
    <row r="125" spans="1:14" hidden="1" x14ac:dyDescent="0.2">
      <c r="B125" t="s">
        <v>183</v>
      </c>
      <c r="C125" s="916">
        <v>0</v>
      </c>
      <c r="D125" s="916">
        <v>0</v>
      </c>
      <c r="E125" s="916">
        <v>0</v>
      </c>
      <c r="F125" s="916">
        <v>0</v>
      </c>
      <c r="G125" s="916">
        <v>0</v>
      </c>
      <c r="H125" s="916">
        <v>0</v>
      </c>
      <c r="I125" s="916">
        <v>0</v>
      </c>
      <c r="J125" s="916">
        <v>0</v>
      </c>
      <c r="K125" s="916">
        <v>0</v>
      </c>
      <c r="L125" s="916">
        <v>0</v>
      </c>
      <c r="M125" s="916">
        <v>0</v>
      </c>
      <c r="N125" s="916">
        <f t="shared" si="18"/>
        <v>0</v>
      </c>
    </row>
    <row r="126" spans="1:14" hidden="1" x14ac:dyDescent="0.2">
      <c r="B126" t="s">
        <v>184</v>
      </c>
      <c r="C126" s="916">
        <v>0</v>
      </c>
      <c r="D126" s="916">
        <v>0</v>
      </c>
      <c r="E126" s="916">
        <v>0</v>
      </c>
      <c r="F126" s="916">
        <v>0</v>
      </c>
      <c r="G126" s="916">
        <v>0</v>
      </c>
      <c r="H126" s="916">
        <v>0</v>
      </c>
      <c r="I126" s="916">
        <v>0</v>
      </c>
      <c r="J126" s="916">
        <v>0</v>
      </c>
      <c r="K126" s="916">
        <v>0</v>
      </c>
      <c r="L126" s="916">
        <v>0</v>
      </c>
      <c r="M126" s="916">
        <v>0</v>
      </c>
      <c r="N126" s="916">
        <f t="shared" si="18"/>
        <v>0</v>
      </c>
    </row>
    <row r="127" spans="1:14" hidden="1" x14ac:dyDescent="0.2">
      <c r="B127" t="s">
        <v>185</v>
      </c>
      <c r="C127" s="916">
        <v>0</v>
      </c>
      <c r="D127" s="916">
        <v>0</v>
      </c>
      <c r="E127" s="916">
        <v>0</v>
      </c>
      <c r="F127" s="916">
        <v>0</v>
      </c>
      <c r="G127" s="916">
        <v>0</v>
      </c>
      <c r="H127" s="916">
        <v>0</v>
      </c>
      <c r="I127" s="916">
        <v>0</v>
      </c>
      <c r="J127" s="916">
        <v>0</v>
      </c>
      <c r="K127" s="916">
        <v>0</v>
      </c>
      <c r="L127" s="916">
        <v>0</v>
      </c>
      <c r="M127" s="916">
        <v>0</v>
      </c>
      <c r="N127" s="916">
        <f t="shared" si="18"/>
        <v>0</v>
      </c>
    </row>
    <row r="128" spans="1:14" hidden="1" x14ac:dyDescent="0.2">
      <c r="B128" t="s">
        <v>186</v>
      </c>
      <c r="C128" s="916">
        <v>0</v>
      </c>
      <c r="D128" s="916">
        <v>0</v>
      </c>
      <c r="E128" s="916">
        <v>0</v>
      </c>
      <c r="F128" s="916">
        <v>0</v>
      </c>
      <c r="G128" s="916">
        <v>0</v>
      </c>
      <c r="H128" s="916">
        <v>0</v>
      </c>
      <c r="I128" s="916">
        <v>0</v>
      </c>
      <c r="J128" s="916">
        <v>0</v>
      </c>
      <c r="K128" s="916">
        <v>0</v>
      </c>
      <c r="L128" s="916">
        <v>0</v>
      </c>
      <c r="M128" s="916">
        <v>0</v>
      </c>
      <c r="N128" s="916">
        <f t="shared" si="18"/>
        <v>0</v>
      </c>
    </row>
    <row r="129" spans="2:14" hidden="1" x14ac:dyDescent="0.2">
      <c r="B129" t="s">
        <v>187</v>
      </c>
      <c r="C129" s="916">
        <v>0</v>
      </c>
      <c r="D129" s="916">
        <v>0</v>
      </c>
      <c r="E129" s="916">
        <v>0</v>
      </c>
      <c r="F129" s="916">
        <v>0</v>
      </c>
      <c r="G129" s="916">
        <v>0</v>
      </c>
      <c r="H129" s="916">
        <v>0</v>
      </c>
      <c r="I129" s="916">
        <v>0</v>
      </c>
      <c r="J129" s="916">
        <v>0</v>
      </c>
      <c r="K129" s="916">
        <v>0</v>
      </c>
      <c r="L129" s="916">
        <v>0</v>
      </c>
      <c r="M129" s="916">
        <v>0</v>
      </c>
      <c r="N129" s="916">
        <f t="shared" si="18"/>
        <v>0</v>
      </c>
    </row>
    <row r="130" spans="2:14" x14ac:dyDescent="0.2">
      <c r="B130" t="s">
        <v>188</v>
      </c>
      <c r="C130" s="916">
        <v>0</v>
      </c>
      <c r="D130" s="916">
        <v>0</v>
      </c>
      <c r="E130" s="916">
        <v>0</v>
      </c>
      <c r="F130" s="916">
        <v>0</v>
      </c>
      <c r="G130" s="916">
        <v>0</v>
      </c>
      <c r="H130" s="916">
        <v>0</v>
      </c>
      <c r="I130" s="916">
        <v>0</v>
      </c>
      <c r="J130" s="916">
        <v>0</v>
      </c>
      <c r="K130" s="916">
        <v>0</v>
      </c>
      <c r="L130" s="916">
        <v>0</v>
      </c>
      <c r="M130" s="916">
        <v>-564590406</v>
      </c>
      <c r="N130" s="916">
        <f t="shared" si="18"/>
        <v>-564590406</v>
      </c>
    </row>
    <row r="131" spans="2:14" hidden="1" x14ac:dyDescent="0.2">
      <c r="B131" t="s">
        <v>189</v>
      </c>
      <c r="C131" s="916">
        <v>0</v>
      </c>
      <c r="D131" s="916">
        <v>0</v>
      </c>
      <c r="E131" s="916">
        <v>0</v>
      </c>
      <c r="F131" s="916">
        <v>0</v>
      </c>
      <c r="G131" s="916">
        <v>0</v>
      </c>
      <c r="H131" s="916">
        <v>0</v>
      </c>
      <c r="I131" s="916">
        <v>0</v>
      </c>
      <c r="J131" s="916">
        <v>0</v>
      </c>
      <c r="K131" s="916">
        <v>0</v>
      </c>
      <c r="L131" s="916">
        <v>0</v>
      </c>
      <c r="M131" s="916">
        <v>0</v>
      </c>
      <c r="N131" s="916">
        <f t="shared" si="18"/>
        <v>0</v>
      </c>
    </row>
    <row r="132" spans="2:14" hidden="1" x14ac:dyDescent="0.2">
      <c r="B132" t="s">
        <v>190</v>
      </c>
      <c r="C132" s="916">
        <v>0</v>
      </c>
      <c r="D132" s="916">
        <v>0</v>
      </c>
      <c r="E132" s="916">
        <v>0</v>
      </c>
      <c r="F132" s="916">
        <v>0</v>
      </c>
      <c r="G132" s="916">
        <v>0</v>
      </c>
      <c r="H132" s="916">
        <v>0</v>
      </c>
      <c r="I132" s="916">
        <v>0</v>
      </c>
      <c r="J132" s="916">
        <v>0</v>
      </c>
      <c r="K132" s="916">
        <v>0</v>
      </c>
      <c r="L132" s="916">
        <v>0</v>
      </c>
      <c r="M132" s="916">
        <v>0</v>
      </c>
      <c r="N132" s="916">
        <f t="shared" si="18"/>
        <v>0</v>
      </c>
    </row>
    <row r="133" spans="2:14" hidden="1" x14ac:dyDescent="0.2">
      <c r="B133" t="s">
        <v>191</v>
      </c>
      <c r="C133" s="916">
        <v>0</v>
      </c>
      <c r="D133" s="916">
        <v>0</v>
      </c>
      <c r="E133" s="916">
        <v>0</v>
      </c>
      <c r="F133" s="916">
        <v>0</v>
      </c>
      <c r="G133" s="916">
        <v>0</v>
      </c>
      <c r="H133" s="916">
        <v>0</v>
      </c>
      <c r="I133" s="916">
        <v>0</v>
      </c>
      <c r="J133" s="916">
        <v>0</v>
      </c>
      <c r="K133" s="916">
        <v>0</v>
      </c>
      <c r="L133" s="916">
        <v>0</v>
      </c>
      <c r="M133" s="916">
        <v>0</v>
      </c>
      <c r="N133" s="916">
        <f t="shared" si="18"/>
        <v>0</v>
      </c>
    </row>
    <row r="134" spans="2:14" hidden="1" x14ac:dyDescent="0.2">
      <c r="B134" t="s">
        <v>192</v>
      </c>
      <c r="C134" s="916">
        <v>0</v>
      </c>
      <c r="D134" s="916">
        <v>0</v>
      </c>
      <c r="E134" s="916">
        <v>0</v>
      </c>
      <c r="F134" s="916">
        <v>0</v>
      </c>
      <c r="G134" s="916">
        <v>0</v>
      </c>
      <c r="H134" s="916">
        <v>0</v>
      </c>
      <c r="I134" s="916">
        <v>0</v>
      </c>
      <c r="J134" s="916">
        <v>0</v>
      </c>
      <c r="K134" s="916">
        <v>0</v>
      </c>
      <c r="L134" s="916">
        <v>0</v>
      </c>
      <c r="M134" s="916">
        <v>0</v>
      </c>
      <c r="N134" s="916">
        <f t="shared" si="18"/>
        <v>0</v>
      </c>
    </row>
    <row r="135" spans="2:14" hidden="1" x14ac:dyDescent="0.2">
      <c r="B135" t="s">
        <v>193</v>
      </c>
      <c r="C135" s="916">
        <v>0</v>
      </c>
      <c r="D135" s="916">
        <v>0</v>
      </c>
      <c r="E135" s="916">
        <v>0</v>
      </c>
      <c r="F135" s="916">
        <v>0</v>
      </c>
      <c r="G135" s="916">
        <v>0</v>
      </c>
      <c r="H135" s="916">
        <v>0</v>
      </c>
      <c r="I135" s="916">
        <v>0</v>
      </c>
      <c r="J135" s="916">
        <v>0</v>
      </c>
      <c r="K135" s="916">
        <v>0</v>
      </c>
      <c r="L135" s="916">
        <v>0</v>
      </c>
      <c r="M135" s="916">
        <v>0</v>
      </c>
      <c r="N135" s="916">
        <f t="shared" si="18"/>
        <v>0</v>
      </c>
    </row>
    <row r="136" spans="2:14" hidden="1" x14ac:dyDescent="0.2">
      <c r="B136" t="s">
        <v>194</v>
      </c>
      <c r="C136" s="916">
        <v>0</v>
      </c>
      <c r="D136" s="916">
        <v>0</v>
      </c>
      <c r="E136" s="916">
        <v>0</v>
      </c>
      <c r="F136" s="916">
        <v>0</v>
      </c>
      <c r="G136" s="916">
        <v>0</v>
      </c>
      <c r="H136" s="916">
        <v>0</v>
      </c>
      <c r="I136" s="916">
        <v>0</v>
      </c>
      <c r="J136" s="916">
        <v>0</v>
      </c>
      <c r="K136" s="916">
        <v>0</v>
      </c>
      <c r="L136" s="916">
        <v>0</v>
      </c>
      <c r="M136" s="916">
        <v>0</v>
      </c>
      <c r="N136" s="916">
        <f t="shared" si="18"/>
        <v>0</v>
      </c>
    </row>
    <row r="137" spans="2:14" hidden="1" x14ac:dyDescent="0.2">
      <c r="B137" t="s">
        <v>195</v>
      </c>
      <c r="C137" s="916">
        <v>0</v>
      </c>
      <c r="D137" s="916">
        <v>0</v>
      </c>
      <c r="E137" s="916">
        <v>0</v>
      </c>
      <c r="F137" s="916">
        <v>0</v>
      </c>
      <c r="G137" s="916">
        <v>0</v>
      </c>
      <c r="H137" s="916">
        <v>0</v>
      </c>
      <c r="I137" s="916">
        <v>0</v>
      </c>
      <c r="J137" s="916">
        <v>0</v>
      </c>
      <c r="K137" s="916">
        <v>0</v>
      </c>
      <c r="L137" s="916">
        <v>0</v>
      </c>
      <c r="M137" s="916">
        <v>0</v>
      </c>
      <c r="N137" s="916">
        <f t="shared" si="18"/>
        <v>0</v>
      </c>
    </row>
    <row r="138" spans="2:14" hidden="1" x14ac:dyDescent="0.2">
      <c r="B138" t="s">
        <v>196</v>
      </c>
      <c r="C138" s="916">
        <v>0</v>
      </c>
      <c r="D138" s="916">
        <v>0</v>
      </c>
      <c r="E138" s="916">
        <v>0</v>
      </c>
      <c r="F138" s="916">
        <v>0</v>
      </c>
      <c r="G138" s="916">
        <v>0</v>
      </c>
      <c r="H138" s="916">
        <v>0</v>
      </c>
      <c r="I138" s="916">
        <v>0</v>
      </c>
      <c r="J138" s="916">
        <v>0</v>
      </c>
      <c r="K138" s="916">
        <v>0</v>
      </c>
      <c r="L138" s="916">
        <v>0</v>
      </c>
      <c r="M138" s="916">
        <v>0</v>
      </c>
      <c r="N138" s="916">
        <f t="shared" si="18"/>
        <v>0</v>
      </c>
    </row>
    <row r="139" spans="2:14" hidden="1" x14ac:dyDescent="0.2">
      <c r="B139" t="s">
        <v>197</v>
      </c>
      <c r="C139" s="916">
        <v>0</v>
      </c>
      <c r="D139" s="916">
        <v>0</v>
      </c>
      <c r="E139" s="916">
        <v>0</v>
      </c>
      <c r="F139" s="916">
        <v>0</v>
      </c>
      <c r="G139" s="916">
        <v>0</v>
      </c>
      <c r="H139" s="916">
        <v>0</v>
      </c>
      <c r="I139" s="916">
        <v>0</v>
      </c>
      <c r="J139" s="916">
        <v>0</v>
      </c>
      <c r="K139" s="916">
        <v>0</v>
      </c>
      <c r="L139" s="916">
        <v>0</v>
      </c>
      <c r="M139" s="916">
        <v>0</v>
      </c>
      <c r="N139" s="916">
        <f t="shared" si="18"/>
        <v>0</v>
      </c>
    </row>
    <row r="140" spans="2:14" hidden="1" x14ac:dyDescent="0.2">
      <c r="B140" t="s">
        <v>198</v>
      </c>
      <c r="C140" s="916">
        <v>0</v>
      </c>
      <c r="D140" s="916">
        <v>0</v>
      </c>
      <c r="E140" s="916">
        <v>0</v>
      </c>
      <c r="F140" s="916">
        <v>0</v>
      </c>
      <c r="G140" s="916">
        <v>0</v>
      </c>
      <c r="H140" s="916">
        <v>0</v>
      </c>
      <c r="I140" s="916">
        <v>0</v>
      </c>
      <c r="J140" s="916">
        <v>0</v>
      </c>
      <c r="K140" s="916">
        <v>0</v>
      </c>
      <c r="L140" s="916">
        <v>0</v>
      </c>
      <c r="M140" s="916">
        <v>0</v>
      </c>
      <c r="N140" s="916">
        <f t="shared" si="18"/>
        <v>0</v>
      </c>
    </row>
    <row r="141" spans="2:14" hidden="1" x14ac:dyDescent="0.2">
      <c r="B141" t="s">
        <v>199</v>
      </c>
      <c r="C141" s="916">
        <v>0</v>
      </c>
      <c r="D141" s="916">
        <v>0</v>
      </c>
      <c r="E141" s="916">
        <v>0</v>
      </c>
      <c r="F141" s="916">
        <v>0</v>
      </c>
      <c r="G141" s="916">
        <v>0</v>
      </c>
      <c r="H141" s="916">
        <v>0</v>
      </c>
      <c r="I141" s="916">
        <v>0</v>
      </c>
      <c r="J141" s="916">
        <v>0</v>
      </c>
      <c r="K141" s="916">
        <v>0</v>
      </c>
      <c r="L141" s="916">
        <v>0</v>
      </c>
      <c r="M141" s="916">
        <v>0</v>
      </c>
      <c r="N141" s="916">
        <f t="shared" si="18"/>
        <v>0</v>
      </c>
    </row>
    <row r="142" spans="2:14" hidden="1" x14ac:dyDescent="0.2">
      <c r="B142" t="s">
        <v>200</v>
      </c>
      <c r="C142" s="916">
        <v>0</v>
      </c>
      <c r="D142" s="916">
        <v>0</v>
      </c>
      <c r="E142" s="916">
        <v>0</v>
      </c>
      <c r="F142" s="916">
        <v>0</v>
      </c>
      <c r="G142" s="916">
        <v>0</v>
      </c>
      <c r="H142" s="916">
        <v>0</v>
      </c>
      <c r="I142" s="916">
        <v>0</v>
      </c>
      <c r="J142" s="916">
        <v>0</v>
      </c>
      <c r="K142" s="916">
        <v>0</v>
      </c>
      <c r="L142" s="916">
        <v>0</v>
      </c>
      <c r="M142" s="916">
        <v>0</v>
      </c>
      <c r="N142" s="916">
        <f t="shared" si="18"/>
        <v>0</v>
      </c>
    </row>
    <row r="143" spans="2:14" hidden="1" x14ac:dyDescent="0.2">
      <c r="B143" t="s">
        <v>201</v>
      </c>
      <c r="C143" s="916">
        <v>0</v>
      </c>
      <c r="D143" s="916">
        <v>0</v>
      </c>
      <c r="E143" s="916">
        <v>0</v>
      </c>
      <c r="F143" s="916">
        <v>0</v>
      </c>
      <c r="G143" s="916">
        <v>0</v>
      </c>
      <c r="H143" s="916">
        <v>0</v>
      </c>
      <c r="I143" s="916">
        <v>0</v>
      </c>
      <c r="J143" s="916">
        <v>0</v>
      </c>
      <c r="K143" s="916">
        <v>0</v>
      </c>
      <c r="L143" s="916">
        <v>0</v>
      </c>
      <c r="M143" s="916">
        <v>0</v>
      </c>
      <c r="N143" s="916">
        <f t="shared" si="18"/>
        <v>0</v>
      </c>
    </row>
    <row r="144" spans="2:14" hidden="1" x14ac:dyDescent="0.2">
      <c r="B144" t="s">
        <v>202</v>
      </c>
      <c r="C144" s="916">
        <v>0</v>
      </c>
      <c r="D144" s="916">
        <v>0</v>
      </c>
      <c r="E144" s="916">
        <v>0</v>
      </c>
      <c r="F144" s="916">
        <v>0</v>
      </c>
      <c r="G144" s="916">
        <v>0</v>
      </c>
      <c r="H144" s="916">
        <v>0</v>
      </c>
      <c r="I144" s="916">
        <v>0</v>
      </c>
      <c r="J144" s="916">
        <v>0</v>
      </c>
      <c r="K144" s="916">
        <v>0</v>
      </c>
      <c r="L144" s="916">
        <v>0</v>
      </c>
      <c r="M144" s="916">
        <v>0</v>
      </c>
      <c r="N144" s="916">
        <f t="shared" si="18"/>
        <v>0</v>
      </c>
    </row>
    <row r="145" spans="2:14" hidden="1" x14ac:dyDescent="0.2">
      <c r="B145" t="s">
        <v>203</v>
      </c>
      <c r="C145" s="916">
        <v>0</v>
      </c>
      <c r="D145" s="916">
        <v>0</v>
      </c>
      <c r="E145" s="916">
        <v>0</v>
      </c>
      <c r="F145" s="916">
        <v>0</v>
      </c>
      <c r="G145" s="916">
        <v>0</v>
      </c>
      <c r="H145" s="916">
        <v>0</v>
      </c>
      <c r="I145" s="916">
        <v>0</v>
      </c>
      <c r="J145" s="916">
        <v>0</v>
      </c>
      <c r="K145" s="916">
        <v>0</v>
      </c>
      <c r="L145" s="916">
        <v>0</v>
      </c>
      <c r="M145" s="916">
        <v>0</v>
      </c>
      <c r="N145" s="916">
        <f t="shared" si="18"/>
        <v>0</v>
      </c>
    </row>
    <row r="146" spans="2:14" hidden="1" x14ac:dyDescent="0.2">
      <c r="B146" t="s">
        <v>204</v>
      </c>
      <c r="C146" s="916">
        <v>0</v>
      </c>
      <c r="D146" s="916">
        <v>0</v>
      </c>
      <c r="E146" s="916">
        <v>0</v>
      </c>
      <c r="F146" s="916">
        <v>0</v>
      </c>
      <c r="G146" s="916">
        <v>0</v>
      </c>
      <c r="H146" s="916">
        <v>0</v>
      </c>
      <c r="I146" s="916">
        <v>0</v>
      </c>
      <c r="J146" s="916">
        <v>0</v>
      </c>
      <c r="K146" s="916">
        <v>0</v>
      </c>
      <c r="L146" s="916">
        <v>0</v>
      </c>
      <c r="M146" s="916">
        <v>0</v>
      </c>
      <c r="N146" s="916">
        <f t="shared" si="18"/>
        <v>0</v>
      </c>
    </row>
    <row r="147" spans="2:14" hidden="1" x14ac:dyDescent="0.2">
      <c r="B147" t="s">
        <v>205</v>
      </c>
      <c r="C147" s="916">
        <v>0</v>
      </c>
      <c r="D147" s="916">
        <v>0</v>
      </c>
      <c r="E147" s="916">
        <v>0</v>
      </c>
      <c r="F147" s="916">
        <v>0</v>
      </c>
      <c r="G147" s="916">
        <v>0</v>
      </c>
      <c r="H147" s="916">
        <v>0</v>
      </c>
      <c r="I147" s="916">
        <v>0</v>
      </c>
      <c r="J147" s="916">
        <v>0</v>
      </c>
      <c r="K147" s="916">
        <v>0</v>
      </c>
      <c r="L147" s="916">
        <v>0</v>
      </c>
      <c r="M147" s="916">
        <v>0</v>
      </c>
      <c r="N147" s="916">
        <f t="shared" si="18"/>
        <v>0</v>
      </c>
    </row>
    <row r="148" spans="2:14" x14ac:dyDescent="0.2">
      <c r="B148" t="s">
        <v>206</v>
      </c>
      <c r="C148" s="916">
        <v>0</v>
      </c>
      <c r="D148" s="916">
        <v>0</v>
      </c>
      <c r="E148" s="916">
        <v>0</v>
      </c>
      <c r="F148" s="916">
        <v>0</v>
      </c>
      <c r="G148" s="916">
        <v>0</v>
      </c>
      <c r="H148" s="916">
        <v>0</v>
      </c>
      <c r="I148" s="916">
        <v>0</v>
      </c>
      <c r="J148" s="916">
        <v>0</v>
      </c>
      <c r="K148" s="916">
        <v>140081386</v>
      </c>
      <c r="L148" s="916">
        <v>0</v>
      </c>
      <c r="M148" s="916">
        <v>0</v>
      </c>
      <c r="N148" s="916">
        <f t="shared" si="18"/>
        <v>140081386</v>
      </c>
    </row>
    <row r="149" spans="2:14" hidden="1" x14ac:dyDescent="0.2">
      <c r="B149" t="s">
        <v>207</v>
      </c>
      <c r="C149" s="916">
        <v>0</v>
      </c>
      <c r="D149" s="916">
        <v>0</v>
      </c>
      <c r="E149" s="916">
        <v>0</v>
      </c>
      <c r="F149" s="916">
        <v>0</v>
      </c>
      <c r="G149" s="916">
        <v>0</v>
      </c>
      <c r="H149" s="916">
        <v>0</v>
      </c>
      <c r="I149" s="916">
        <v>0</v>
      </c>
      <c r="J149" s="916">
        <v>0</v>
      </c>
      <c r="K149" s="916">
        <v>0</v>
      </c>
      <c r="L149" s="916">
        <v>0</v>
      </c>
      <c r="M149" s="916">
        <v>0</v>
      </c>
      <c r="N149" s="916">
        <f t="shared" si="18"/>
        <v>0</v>
      </c>
    </row>
    <row r="150" spans="2:14" hidden="1" x14ac:dyDescent="0.2">
      <c r="B150" t="s">
        <v>208</v>
      </c>
      <c r="C150" s="916">
        <v>0</v>
      </c>
      <c r="D150" s="916">
        <v>0</v>
      </c>
      <c r="E150" s="916">
        <v>0</v>
      </c>
      <c r="F150" s="916">
        <v>0</v>
      </c>
      <c r="G150" s="916">
        <v>0</v>
      </c>
      <c r="H150" s="916">
        <v>0</v>
      </c>
      <c r="I150" s="916">
        <v>0</v>
      </c>
      <c r="J150" s="916">
        <v>0</v>
      </c>
      <c r="K150" s="916">
        <v>0</v>
      </c>
      <c r="L150" s="916">
        <v>0</v>
      </c>
      <c r="M150" s="916">
        <v>0</v>
      </c>
      <c r="N150" s="916">
        <f t="shared" si="18"/>
        <v>0</v>
      </c>
    </row>
    <row r="151" spans="2:14" hidden="1" x14ac:dyDescent="0.2">
      <c r="B151" t="s">
        <v>209</v>
      </c>
      <c r="C151" s="916">
        <v>0</v>
      </c>
      <c r="D151" s="916">
        <v>0</v>
      </c>
      <c r="E151" s="916">
        <v>0</v>
      </c>
      <c r="F151" s="916">
        <v>0</v>
      </c>
      <c r="G151" s="916">
        <v>0</v>
      </c>
      <c r="H151" s="916">
        <v>0</v>
      </c>
      <c r="I151" s="916">
        <v>0</v>
      </c>
      <c r="J151" s="916">
        <v>0</v>
      </c>
      <c r="K151" s="916">
        <v>0</v>
      </c>
      <c r="L151" s="916">
        <v>0</v>
      </c>
      <c r="M151" s="916">
        <v>0</v>
      </c>
      <c r="N151" s="916">
        <f t="shared" si="18"/>
        <v>0</v>
      </c>
    </row>
    <row r="152" spans="2:14" hidden="1" x14ac:dyDescent="0.2">
      <c r="B152" t="s">
        <v>210</v>
      </c>
      <c r="C152" s="916">
        <v>0</v>
      </c>
      <c r="D152" s="916">
        <v>0</v>
      </c>
      <c r="E152" s="916">
        <v>0</v>
      </c>
      <c r="F152" s="916">
        <v>0</v>
      </c>
      <c r="G152" s="916">
        <v>0</v>
      </c>
      <c r="H152" s="916">
        <v>0</v>
      </c>
      <c r="I152" s="916">
        <v>0</v>
      </c>
      <c r="J152" s="916">
        <v>0</v>
      </c>
      <c r="K152" s="916">
        <v>0</v>
      </c>
      <c r="L152" s="916">
        <v>0</v>
      </c>
      <c r="M152" s="916">
        <v>0</v>
      </c>
      <c r="N152" s="916">
        <f t="shared" si="18"/>
        <v>0</v>
      </c>
    </row>
    <row r="153" spans="2:14" hidden="1" x14ac:dyDescent="0.2">
      <c r="B153" t="s">
        <v>211</v>
      </c>
      <c r="C153" s="916">
        <v>0</v>
      </c>
      <c r="D153" s="916">
        <v>0</v>
      </c>
      <c r="E153" s="916">
        <v>0</v>
      </c>
      <c r="F153" s="916">
        <v>0</v>
      </c>
      <c r="G153" s="916">
        <v>0</v>
      </c>
      <c r="H153" s="916">
        <v>0</v>
      </c>
      <c r="I153" s="916">
        <v>0</v>
      </c>
      <c r="J153" s="916">
        <v>0</v>
      </c>
      <c r="K153" s="916">
        <v>0</v>
      </c>
      <c r="L153" s="916">
        <v>0</v>
      </c>
      <c r="M153" s="916">
        <v>0</v>
      </c>
      <c r="N153" s="916">
        <f t="shared" si="18"/>
        <v>0</v>
      </c>
    </row>
    <row r="154" spans="2:14" hidden="1" x14ac:dyDescent="0.2">
      <c r="B154" t="s">
        <v>212</v>
      </c>
      <c r="C154" s="916">
        <v>0</v>
      </c>
      <c r="D154" s="916">
        <v>0</v>
      </c>
      <c r="E154" s="916">
        <v>0</v>
      </c>
      <c r="F154" s="916">
        <v>0</v>
      </c>
      <c r="G154" s="916">
        <v>0</v>
      </c>
      <c r="H154" s="916">
        <v>0</v>
      </c>
      <c r="I154" s="916">
        <v>0</v>
      </c>
      <c r="J154" s="916">
        <v>0</v>
      </c>
      <c r="K154" s="916">
        <v>0</v>
      </c>
      <c r="L154" s="916">
        <v>0</v>
      </c>
      <c r="M154" s="916">
        <v>0</v>
      </c>
      <c r="N154" s="916">
        <f t="shared" si="18"/>
        <v>0</v>
      </c>
    </row>
    <row r="155" spans="2:14" hidden="1" x14ac:dyDescent="0.2">
      <c r="B155" t="s">
        <v>213</v>
      </c>
      <c r="C155" s="916">
        <v>0</v>
      </c>
      <c r="D155" s="916">
        <v>0</v>
      </c>
      <c r="E155" s="916">
        <v>0</v>
      </c>
      <c r="F155" s="916">
        <v>0</v>
      </c>
      <c r="G155" s="916">
        <v>0</v>
      </c>
      <c r="H155" s="916">
        <v>0</v>
      </c>
      <c r="I155" s="916">
        <v>0</v>
      </c>
      <c r="J155" s="916">
        <v>0</v>
      </c>
      <c r="K155" s="916">
        <v>0</v>
      </c>
      <c r="L155" s="916">
        <v>0</v>
      </c>
      <c r="M155" s="916">
        <v>0</v>
      </c>
      <c r="N155" s="916">
        <f t="shared" si="18"/>
        <v>0</v>
      </c>
    </row>
    <row r="156" spans="2:14" hidden="1" x14ac:dyDescent="0.2">
      <c r="B156" t="s">
        <v>214</v>
      </c>
      <c r="C156" s="916">
        <v>0</v>
      </c>
      <c r="D156" s="916">
        <v>0</v>
      </c>
      <c r="E156" s="916">
        <v>0</v>
      </c>
      <c r="F156" s="916">
        <v>0</v>
      </c>
      <c r="G156" s="916">
        <v>0</v>
      </c>
      <c r="H156" s="916">
        <v>0</v>
      </c>
      <c r="I156" s="916">
        <v>0</v>
      </c>
      <c r="J156" s="916">
        <v>0</v>
      </c>
      <c r="K156" s="916">
        <v>0</v>
      </c>
      <c r="L156" s="916">
        <v>0</v>
      </c>
      <c r="M156" s="916">
        <v>0</v>
      </c>
      <c r="N156" s="916">
        <f t="shared" si="18"/>
        <v>0</v>
      </c>
    </row>
    <row r="157" spans="2:14" hidden="1" x14ac:dyDescent="0.2">
      <c r="B157" t="s">
        <v>215</v>
      </c>
      <c r="C157" s="916">
        <v>0</v>
      </c>
      <c r="D157" s="916">
        <v>0</v>
      </c>
      <c r="E157" s="916">
        <v>0</v>
      </c>
      <c r="F157" s="916">
        <v>0</v>
      </c>
      <c r="G157" s="916">
        <v>0</v>
      </c>
      <c r="H157" s="916">
        <v>0</v>
      </c>
      <c r="I157" s="916">
        <v>0</v>
      </c>
      <c r="J157" s="916">
        <v>0</v>
      </c>
      <c r="K157" s="916">
        <v>0</v>
      </c>
      <c r="L157" s="916">
        <v>0</v>
      </c>
      <c r="M157" s="916">
        <v>0</v>
      </c>
      <c r="N157" s="916">
        <f t="shared" si="18"/>
        <v>0</v>
      </c>
    </row>
    <row r="158" spans="2:14" hidden="1" x14ac:dyDescent="0.2">
      <c r="B158" t="s">
        <v>216</v>
      </c>
      <c r="C158" s="916">
        <v>0</v>
      </c>
      <c r="D158" s="916">
        <v>0</v>
      </c>
      <c r="E158" s="916">
        <v>0</v>
      </c>
      <c r="F158" s="916">
        <v>0</v>
      </c>
      <c r="G158" s="916">
        <v>0</v>
      </c>
      <c r="H158" s="916">
        <v>0</v>
      </c>
      <c r="I158" s="916">
        <v>0</v>
      </c>
      <c r="J158" s="916">
        <v>0</v>
      </c>
      <c r="K158" s="916">
        <v>0</v>
      </c>
      <c r="L158" s="916">
        <v>0</v>
      </c>
      <c r="M158" s="916">
        <v>0</v>
      </c>
      <c r="N158" s="916">
        <f t="shared" si="18"/>
        <v>0</v>
      </c>
    </row>
    <row r="159" spans="2:14" hidden="1" x14ac:dyDescent="0.2">
      <c r="B159" t="s">
        <v>217</v>
      </c>
      <c r="C159" s="916">
        <v>0</v>
      </c>
      <c r="D159" s="916">
        <v>0</v>
      </c>
      <c r="E159" s="916">
        <v>0</v>
      </c>
      <c r="F159" s="916">
        <v>0</v>
      </c>
      <c r="G159" s="916">
        <v>0</v>
      </c>
      <c r="H159" s="916">
        <v>0</v>
      </c>
      <c r="I159" s="916">
        <v>0</v>
      </c>
      <c r="J159" s="916">
        <v>0</v>
      </c>
      <c r="K159" s="916">
        <v>0</v>
      </c>
      <c r="L159" s="916">
        <v>0</v>
      </c>
      <c r="M159" s="916">
        <v>0</v>
      </c>
      <c r="N159" s="916">
        <f t="shared" si="18"/>
        <v>0</v>
      </c>
    </row>
    <row r="160" spans="2:14" hidden="1" x14ac:dyDescent="0.2">
      <c r="B160" t="s">
        <v>218</v>
      </c>
      <c r="C160" s="916">
        <v>0</v>
      </c>
      <c r="D160" s="916">
        <v>0</v>
      </c>
      <c r="E160" s="916">
        <v>0</v>
      </c>
      <c r="F160" s="916">
        <v>0</v>
      </c>
      <c r="G160" s="916">
        <v>0</v>
      </c>
      <c r="H160" s="916">
        <v>0</v>
      </c>
      <c r="I160" s="916">
        <v>0</v>
      </c>
      <c r="J160" s="916">
        <v>0</v>
      </c>
      <c r="K160" s="916">
        <v>0</v>
      </c>
      <c r="L160" s="916">
        <v>0</v>
      </c>
      <c r="M160" s="916">
        <v>0</v>
      </c>
      <c r="N160" s="916">
        <f t="shared" si="18"/>
        <v>0</v>
      </c>
    </row>
    <row r="161" spans="1:14" hidden="1" x14ac:dyDescent="0.2">
      <c r="B161" t="s">
        <v>219</v>
      </c>
      <c r="C161" s="916">
        <v>0</v>
      </c>
      <c r="D161" s="916">
        <v>0</v>
      </c>
      <c r="E161" s="916">
        <v>0</v>
      </c>
      <c r="F161" s="916">
        <v>0</v>
      </c>
      <c r="G161" s="916">
        <v>0</v>
      </c>
      <c r="H161" s="916">
        <v>0</v>
      </c>
      <c r="I161" s="916">
        <v>0</v>
      </c>
      <c r="J161" s="916">
        <v>0</v>
      </c>
      <c r="K161" s="916">
        <v>0</v>
      </c>
      <c r="L161" s="916">
        <v>0</v>
      </c>
      <c r="M161" s="916">
        <v>0</v>
      </c>
      <c r="N161" s="916">
        <f t="shared" si="18"/>
        <v>0</v>
      </c>
    </row>
    <row r="162" spans="1:14" hidden="1" x14ac:dyDescent="0.2">
      <c r="B162" t="s">
        <v>220</v>
      </c>
      <c r="C162" s="916">
        <v>0</v>
      </c>
      <c r="D162" s="916">
        <v>0</v>
      </c>
      <c r="E162" s="916">
        <v>0</v>
      </c>
      <c r="F162" s="916">
        <v>0</v>
      </c>
      <c r="G162" s="916">
        <v>0</v>
      </c>
      <c r="H162" s="916">
        <v>0</v>
      </c>
      <c r="I162" s="916">
        <v>0</v>
      </c>
      <c r="J162" s="916">
        <v>0</v>
      </c>
      <c r="K162" s="916">
        <v>0</v>
      </c>
      <c r="L162" s="916">
        <v>0</v>
      </c>
      <c r="M162" s="916">
        <v>0</v>
      </c>
      <c r="N162" s="916">
        <f t="shared" si="18"/>
        <v>0</v>
      </c>
    </row>
    <row r="163" spans="1:14" hidden="1" x14ac:dyDescent="0.2">
      <c r="B163" t="s">
        <v>221</v>
      </c>
      <c r="C163" s="916">
        <v>0</v>
      </c>
      <c r="D163" s="916">
        <v>0</v>
      </c>
      <c r="E163" s="916">
        <v>0</v>
      </c>
      <c r="F163" s="916">
        <v>0</v>
      </c>
      <c r="G163" s="916">
        <v>0</v>
      </c>
      <c r="H163" s="916">
        <v>0</v>
      </c>
      <c r="I163" s="916">
        <v>0</v>
      </c>
      <c r="J163" s="916">
        <v>0</v>
      </c>
      <c r="K163" s="916">
        <v>0</v>
      </c>
      <c r="L163" s="916">
        <v>0</v>
      </c>
      <c r="M163" s="916">
        <v>0</v>
      </c>
      <c r="N163" s="916">
        <f t="shared" si="18"/>
        <v>0</v>
      </c>
    </row>
    <row r="164" spans="1:14" hidden="1" x14ac:dyDescent="0.2">
      <c r="A164" s="2" t="s">
        <v>10</v>
      </c>
      <c r="B164" t="s">
        <v>142</v>
      </c>
      <c r="C164" s="916">
        <v>0</v>
      </c>
      <c r="D164" s="916">
        <v>0</v>
      </c>
      <c r="E164" s="916">
        <v>0</v>
      </c>
      <c r="F164" s="916">
        <v>0</v>
      </c>
      <c r="G164" s="916">
        <v>0</v>
      </c>
      <c r="H164" s="916">
        <v>0</v>
      </c>
      <c r="I164" s="916">
        <v>0</v>
      </c>
      <c r="J164" s="916">
        <v>0</v>
      </c>
      <c r="K164" s="916">
        <v>0</v>
      </c>
      <c r="L164" s="916">
        <v>0</v>
      </c>
      <c r="M164" s="916">
        <v>0</v>
      </c>
      <c r="N164" s="916">
        <f t="shared" si="18"/>
        <v>0</v>
      </c>
    </row>
    <row r="165" spans="1:14" hidden="1" x14ac:dyDescent="0.2">
      <c r="A165" s="2" t="s">
        <v>10</v>
      </c>
      <c r="B165" t="s">
        <v>141</v>
      </c>
      <c r="C165" s="916">
        <v>0</v>
      </c>
      <c r="D165" s="916">
        <v>0</v>
      </c>
      <c r="E165" s="916">
        <v>0</v>
      </c>
      <c r="F165" s="916">
        <v>0</v>
      </c>
      <c r="G165" s="916">
        <v>0</v>
      </c>
      <c r="H165" s="916">
        <v>0</v>
      </c>
      <c r="I165" s="916">
        <v>0</v>
      </c>
      <c r="J165" s="916">
        <v>0</v>
      </c>
      <c r="K165" s="916">
        <v>0</v>
      </c>
      <c r="L165" s="916">
        <v>0</v>
      </c>
      <c r="M165" s="916">
        <v>0</v>
      </c>
      <c r="N165" s="916">
        <f t="shared" si="18"/>
        <v>0</v>
      </c>
    </row>
    <row r="166" spans="1:14" hidden="1" x14ac:dyDescent="0.2">
      <c r="A166" s="2" t="s">
        <v>33</v>
      </c>
      <c r="B166" t="s">
        <v>222</v>
      </c>
      <c r="C166" s="916">
        <v>0</v>
      </c>
      <c r="D166" s="916">
        <v>0</v>
      </c>
      <c r="E166" s="916">
        <v>0</v>
      </c>
      <c r="F166" s="916">
        <v>0</v>
      </c>
      <c r="G166" s="916">
        <v>0</v>
      </c>
      <c r="H166" s="916">
        <v>0</v>
      </c>
      <c r="I166" s="916">
        <v>0</v>
      </c>
      <c r="J166" s="916">
        <v>0</v>
      </c>
      <c r="K166" s="916">
        <v>0</v>
      </c>
      <c r="L166" s="916">
        <v>0</v>
      </c>
      <c r="M166" s="916">
        <v>0</v>
      </c>
      <c r="N166" s="916">
        <f t="shared" si="18"/>
        <v>0</v>
      </c>
    </row>
    <row r="167" spans="1:14" hidden="1" x14ac:dyDescent="0.2">
      <c r="A167" s="2" t="s">
        <v>10</v>
      </c>
      <c r="B167" t="s">
        <v>138</v>
      </c>
      <c r="C167" s="916">
        <v>0</v>
      </c>
      <c r="D167" s="916">
        <v>0</v>
      </c>
      <c r="E167" s="916">
        <v>0</v>
      </c>
      <c r="F167" s="916">
        <v>0</v>
      </c>
      <c r="G167" s="916">
        <v>0</v>
      </c>
      <c r="H167" s="916">
        <v>0</v>
      </c>
      <c r="I167" s="916">
        <v>0</v>
      </c>
      <c r="J167" s="916">
        <v>0</v>
      </c>
      <c r="K167" s="916">
        <v>0</v>
      </c>
      <c r="L167" s="916">
        <v>0</v>
      </c>
      <c r="M167" s="916">
        <v>0</v>
      </c>
      <c r="N167" s="916">
        <f t="shared" si="18"/>
        <v>0</v>
      </c>
    </row>
    <row r="168" spans="1:14" hidden="1" x14ac:dyDescent="0.2">
      <c r="A168" s="2" t="s">
        <v>10</v>
      </c>
      <c r="B168" t="s">
        <v>136</v>
      </c>
      <c r="C168" s="916">
        <v>0</v>
      </c>
      <c r="D168" s="916">
        <v>0</v>
      </c>
      <c r="E168" s="916">
        <v>0</v>
      </c>
      <c r="F168" s="916">
        <v>0</v>
      </c>
      <c r="G168" s="916">
        <v>0</v>
      </c>
      <c r="H168" s="916">
        <v>0</v>
      </c>
      <c r="I168" s="916">
        <v>0</v>
      </c>
      <c r="J168" s="916">
        <v>0</v>
      </c>
      <c r="K168" s="916">
        <v>0</v>
      </c>
      <c r="L168" s="916">
        <v>0</v>
      </c>
      <c r="M168" s="916">
        <v>0</v>
      </c>
      <c r="N168" s="916">
        <f t="shared" si="18"/>
        <v>0</v>
      </c>
    </row>
    <row r="169" spans="1:14" hidden="1" x14ac:dyDescent="0.2">
      <c r="B169" t="s">
        <v>223</v>
      </c>
      <c r="C169" s="916">
        <v>0</v>
      </c>
      <c r="D169" s="916">
        <v>0</v>
      </c>
      <c r="E169" s="916">
        <v>0</v>
      </c>
      <c r="F169" s="916">
        <v>0</v>
      </c>
      <c r="G169" s="916">
        <v>0</v>
      </c>
      <c r="H169" s="916">
        <v>0</v>
      </c>
      <c r="I169" s="916">
        <v>0</v>
      </c>
      <c r="J169" s="916">
        <v>0</v>
      </c>
      <c r="K169" s="916">
        <v>0</v>
      </c>
      <c r="L169" s="916">
        <v>0</v>
      </c>
      <c r="M169" s="916">
        <v>0</v>
      </c>
      <c r="N169" s="916">
        <f t="shared" si="18"/>
        <v>0</v>
      </c>
    </row>
    <row r="170" spans="1:14" hidden="1" x14ac:dyDescent="0.2">
      <c r="B170" t="s">
        <v>224</v>
      </c>
      <c r="C170" s="916">
        <v>0</v>
      </c>
      <c r="D170" s="916">
        <v>0</v>
      </c>
      <c r="E170" s="916">
        <v>0</v>
      </c>
      <c r="F170" s="916">
        <v>0</v>
      </c>
      <c r="G170" s="916">
        <v>0</v>
      </c>
      <c r="H170" s="916">
        <v>0</v>
      </c>
      <c r="I170" s="916">
        <v>0</v>
      </c>
      <c r="J170" s="916">
        <v>0</v>
      </c>
      <c r="K170" s="916">
        <v>0</v>
      </c>
      <c r="L170" s="916">
        <v>0</v>
      </c>
      <c r="M170" s="916">
        <v>0</v>
      </c>
      <c r="N170" s="916">
        <f t="shared" si="18"/>
        <v>0</v>
      </c>
    </row>
    <row r="171" spans="1:14" hidden="1" x14ac:dyDescent="0.2">
      <c r="B171" t="s">
        <v>225</v>
      </c>
      <c r="C171" s="916">
        <v>0</v>
      </c>
      <c r="D171" s="916">
        <v>0</v>
      </c>
      <c r="E171" s="916">
        <v>0</v>
      </c>
      <c r="F171" s="916">
        <v>0</v>
      </c>
      <c r="G171" s="916">
        <v>0</v>
      </c>
      <c r="H171" s="916">
        <v>0</v>
      </c>
      <c r="I171" s="916">
        <v>0</v>
      </c>
      <c r="J171" s="916">
        <v>0</v>
      </c>
      <c r="K171" s="916">
        <v>0</v>
      </c>
      <c r="L171" s="916">
        <v>0</v>
      </c>
      <c r="M171" s="916">
        <v>0</v>
      </c>
      <c r="N171" s="916">
        <f t="shared" si="18"/>
        <v>0</v>
      </c>
    </row>
    <row r="172" spans="1:14" hidden="1" x14ac:dyDescent="0.2">
      <c r="B172" t="s">
        <v>226</v>
      </c>
      <c r="C172" s="916">
        <v>0</v>
      </c>
      <c r="D172" s="916">
        <v>0</v>
      </c>
      <c r="E172" s="916">
        <v>0</v>
      </c>
      <c r="F172" s="916">
        <v>0</v>
      </c>
      <c r="G172" s="916">
        <v>0</v>
      </c>
      <c r="H172" s="916">
        <v>0</v>
      </c>
      <c r="I172" s="916">
        <v>0</v>
      </c>
      <c r="J172" s="916">
        <v>0</v>
      </c>
      <c r="K172" s="916">
        <v>0</v>
      </c>
      <c r="L172" s="916">
        <v>0</v>
      </c>
      <c r="M172" s="916">
        <v>0</v>
      </c>
      <c r="N172" s="916">
        <f t="shared" si="18"/>
        <v>0</v>
      </c>
    </row>
    <row r="173" spans="1:14" hidden="1" x14ac:dyDescent="0.2">
      <c r="B173" t="s">
        <v>227</v>
      </c>
      <c r="C173" s="916">
        <v>0</v>
      </c>
      <c r="D173" s="916">
        <v>0</v>
      </c>
      <c r="E173" s="916">
        <v>0</v>
      </c>
      <c r="F173" s="916">
        <v>0</v>
      </c>
      <c r="G173" s="916">
        <v>0</v>
      </c>
      <c r="H173" s="916">
        <v>0</v>
      </c>
      <c r="I173" s="916">
        <v>0</v>
      </c>
      <c r="J173" s="916">
        <v>0</v>
      </c>
      <c r="K173" s="916">
        <v>0</v>
      </c>
      <c r="L173" s="916">
        <v>0</v>
      </c>
      <c r="M173" s="916">
        <v>0</v>
      </c>
      <c r="N173" s="916">
        <f t="shared" si="18"/>
        <v>0</v>
      </c>
    </row>
    <row r="174" spans="1:14" hidden="1" x14ac:dyDescent="0.2">
      <c r="B174" t="s">
        <v>228</v>
      </c>
      <c r="C174" s="916">
        <v>0</v>
      </c>
      <c r="D174" s="916">
        <v>0</v>
      </c>
      <c r="E174" s="916">
        <v>0</v>
      </c>
      <c r="F174" s="916">
        <v>0</v>
      </c>
      <c r="G174" s="916">
        <v>0</v>
      </c>
      <c r="H174" s="916">
        <v>0</v>
      </c>
      <c r="I174" s="916">
        <v>0</v>
      </c>
      <c r="J174" s="916">
        <v>0</v>
      </c>
      <c r="K174" s="916">
        <v>0</v>
      </c>
      <c r="L174" s="916">
        <v>0</v>
      </c>
      <c r="M174" s="916">
        <v>0</v>
      </c>
      <c r="N174" s="916">
        <f t="shared" si="18"/>
        <v>0</v>
      </c>
    </row>
    <row r="175" spans="1:14" hidden="1" x14ac:dyDescent="0.2">
      <c r="B175" t="s">
        <v>229</v>
      </c>
      <c r="C175" s="916">
        <v>0</v>
      </c>
      <c r="D175" s="916">
        <v>0</v>
      </c>
      <c r="E175" s="916">
        <v>0</v>
      </c>
      <c r="F175" s="916">
        <v>0</v>
      </c>
      <c r="G175" s="916">
        <v>0</v>
      </c>
      <c r="H175" s="916">
        <v>0</v>
      </c>
      <c r="I175" s="916">
        <v>0</v>
      </c>
      <c r="J175" s="916">
        <v>0</v>
      </c>
      <c r="K175" s="916">
        <v>0</v>
      </c>
      <c r="L175" s="916">
        <v>0</v>
      </c>
      <c r="M175" s="916">
        <v>0</v>
      </c>
      <c r="N175" s="916">
        <f t="shared" si="18"/>
        <v>0</v>
      </c>
    </row>
    <row r="176" spans="1:14" hidden="1" x14ac:dyDescent="0.2">
      <c r="B176" t="s">
        <v>230</v>
      </c>
      <c r="C176" s="916">
        <v>0</v>
      </c>
      <c r="D176" s="916">
        <v>0</v>
      </c>
      <c r="E176" s="916">
        <v>0</v>
      </c>
      <c r="F176" s="916">
        <v>0</v>
      </c>
      <c r="G176" s="916">
        <v>0</v>
      </c>
      <c r="H176" s="916">
        <v>0</v>
      </c>
      <c r="I176" s="916">
        <v>0</v>
      </c>
      <c r="J176" s="916">
        <v>0</v>
      </c>
      <c r="K176" s="916">
        <v>0</v>
      </c>
      <c r="L176" s="916">
        <v>0</v>
      </c>
      <c r="M176" s="916">
        <v>0</v>
      </c>
      <c r="N176" s="916">
        <f t="shared" si="18"/>
        <v>0</v>
      </c>
    </row>
    <row r="177" spans="2:14" hidden="1" x14ac:dyDescent="0.2">
      <c r="B177" t="s">
        <v>231</v>
      </c>
      <c r="C177" s="916">
        <v>0</v>
      </c>
      <c r="D177" s="916">
        <v>0</v>
      </c>
      <c r="E177" s="916">
        <v>0</v>
      </c>
      <c r="F177" s="916">
        <v>0</v>
      </c>
      <c r="G177" s="916">
        <v>0</v>
      </c>
      <c r="H177" s="916">
        <v>0</v>
      </c>
      <c r="I177" s="916">
        <v>0</v>
      </c>
      <c r="J177" s="916">
        <v>0</v>
      </c>
      <c r="K177" s="916">
        <v>0</v>
      </c>
      <c r="L177" s="916">
        <v>0</v>
      </c>
      <c r="M177" s="916">
        <v>0</v>
      </c>
      <c r="N177" s="916">
        <f t="shared" si="18"/>
        <v>0</v>
      </c>
    </row>
    <row r="178" spans="2:14" hidden="1" x14ac:dyDescent="0.2">
      <c r="B178" t="s">
        <v>232</v>
      </c>
      <c r="C178" s="916">
        <v>0</v>
      </c>
      <c r="D178" s="916">
        <v>0</v>
      </c>
      <c r="E178" s="916">
        <v>0</v>
      </c>
      <c r="F178" s="916">
        <v>0</v>
      </c>
      <c r="G178" s="916">
        <v>0</v>
      </c>
      <c r="H178" s="916">
        <v>0</v>
      </c>
      <c r="I178" s="916">
        <v>0</v>
      </c>
      <c r="J178" s="916">
        <v>0</v>
      </c>
      <c r="K178" s="916">
        <v>0</v>
      </c>
      <c r="L178" s="916">
        <v>0</v>
      </c>
      <c r="M178" s="916">
        <v>0</v>
      </c>
      <c r="N178" s="916">
        <f t="shared" si="18"/>
        <v>0</v>
      </c>
    </row>
    <row r="179" spans="2:14" hidden="1" x14ac:dyDescent="0.2">
      <c r="B179" t="s">
        <v>233</v>
      </c>
      <c r="C179" s="916">
        <v>0</v>
      </c>
      <c r="D179" s="916">
        <v>0</v>
      </c>
      <c r="E179" s="916">
        <v>0</v>
      </c>
      <c r="F179" s="916">
        <v>0</v>
      </c>
      <c r="G179" s="916">
        <v>0</v>
      </c>
      <c r="H179" s="916">
        <v>0</v>
      </c>
      <c r="I179" s="916">
        <v>0</v>
      </c>
      <c r="J179" s="916">
        <v>0</v>
      </c>
      <c r="K179" s="916">
        <v>0</v>
      </c>
      <c r="L179" s="916">
        <v>0</v>
      </c>
      <c r="M179" s="916">
        <v>0</v>
      </c>
      <c r="N179" s="916">
        <f t="shared" si="18"/>
        <v>0</v>
      </c>
    </row>
    <row r="180" spans="2:14" hidden="1" x14ac:dyDescent="0.2">
      <c r="B180" t="s">
        <v>234</v>
      </c>
      <c r="C180" s="916">
        <v>0</v>
      </c>
      <c r="D180" s="916">
        <v>0</v>
      </c>
      <c r="E180" s="916">
        <v>0</v>
      </c>
      <c r="F180" s="916">
        <v>0</v>
      </c>
      <c r="G180" s="916">
        <v>0</v>
      </c>
      <c r="H180" s="916">
        <v>0</v>
      </c>
      <c r="I180" s="916">
        <v>0</v>
      </c>
      <c r="J180" s="916">
        <v>0</v>
      </c>
      <c r="K180" s="916">
        <v>0</v>
      </c>
      <c r="L180" s="916">
        <v>0</v>
      </c>
      <c r="M180" s="916">
        <v>0</v>
      </c>
      <c r="N180" s="916">
        <f t="shared" si="18"/>
        <v>0</v>
      </c>
    </row>
    <row r="181" spans="2:14" hidden="1" x14ac:dyDescent="0.2">
      <c r="B181" t="s">
        <v>9</v>
      </c>
      <c r="C181" s="916">
        <v>0</v>
      </c>
      <c r="D181" s="916">
        <v>0</v>
      </c>
      <c r="E181" s="916">
        <v>0</v>
      </c>
      <c r="F181" s="916">
        <v>0</v>
      </c>
      <c r="G181" s="916">
        <v>0</v>
      </c>
      <c r="H181" s="916">
        <v>0</v>
      </c>
      <c r="I181" s="916">
        <v>0</v>
      </c>
      <c r="J181" s="916">
        <v>0</v>
      </c>
      <c r="K181" s="916">
        <v>0</v>
      </c>
      <c r="L181" s="916">
        <v>0</v>
      </c>
      <c r="M181" s="916">
        <v>0</v>
      </c>
      <c r="N181" s="916">
        <f t="shared" si="18"/>
        <v>0</v>
      </c>
    </row>
    <row r="182" spans="2:14" hidden="1" x14ac:dyDescent="0.2">
      <c r="B182" t="s">
        <v>235</v>
      </c>
      <c r="C182" s="916">
        <v>0</v>
      </c>
      <c r="D182" s="916">
        <v>0</v>
      </c>
      <c r="E182" s="916">
        <v>0</v>
      </c>
      <c r="F182" s="916">
        <v>0</v>
      </c>
      <c r="G182" s="916">
        <v>0</v>
      </c>
      <c r="H182" s="916">
        <v>0</v>
      </c>
      <c r="I182" s="916">
        <v>0</v>
      </c>
      <c r="J182" s="916">
        <v>0</v>
      </c>
      <c r="K182" s="916">
        <v>0</v>
      </c>
      <c r="L182" s="916">
        <v>0</v>
      </c>
      <c r="M182" s="916">
        <v>0</v>
      </c>
      <c r="N182" s="916">
        <f t="shared" si="18"/>
        <v>0</v>
      </c>
    </row>
    <row r="183" spans="2:14" hidden="1" x14ac:dyDescent="0.2">
      <c r="B183" t="s">
        <v>236</v>
      </c>
      <c r="C183" s="916">
        <v>0</v>
      </c>
      <c r="D183" s="916">
        <v>0</v>
      </c>
      <c r="E183" s="916">
        <v>0</v>
      </c>
      <c r="F183" s="916">
        <v>0</v>
      </c>
      <c r="G183" s="916">
        <v>0</v>
      </c>
      <c r="H183" s="916">
        <v>0</v>
      </c>
      <c r="I183" s="916">
        <v>0</v>
      </c>
      <c r="J183" s="916">
        <v>0</v>
      </c>
      <c r="K183" s="916">
        <v>0</v>
      </c>
      <c r="L183" s="916">
        <v>0</v>
      </c>
      <c r="M183" s="916">
        <v>0</v>
      </c>
      <c r="N183" s="916">
        <f t="shared" ref="N183:N191" si="19">SUM(C183:M183)</f>
        <v>0</v>
      </c>
    </row>
    <row r="184" spans="2:14" hidden="1" x14ac:dyDescent="0.2">
      <c r="B184" t="s">
        <v>237</v>
      </c>
      <c r="C184" s="916">
        <v>0</v>
      </c>
      <c r="D184" s="916">
        <v>0</v>
      </c>
      <c r="E184" s="916">
        <v>0</v>
      </c>
      <c r="F184" s="916">
        <v>0</v>
      </c>
      <c r="G184" s="916">
        <v>0</v>
      </c>
      <c r="H184" s="916">
        <v>0</v>
      </c>
      <c r="I184" s="916">
        <v>0</v>
      </c>
      <c r="J184" s="916">
        <v>0</v>
      </c>
      <c r="K184" s="916">
        <v>0</v>
      </c>
      <c r="L184" s="916">
        <v>0</v>
      </c>
      <c r="M184" s="916">
        <v>0</v>
      </c>
      <c r="N184" s="916">
        <f t="shared" si="19"/>
        <v>0</v>
      </c>
    </row>
    <row r="185" spans="2:14" hidden="1" x14ac:dyDescent="0.2">
      <c r="B185" t="s">
        <v>238</v>
      </c>
      <c r="C185" s="916">
        <v>0</v>
      </c>
      <c r="D185" s="916">
        <v>0</v>
      </c>
      <c r="E185" s="916">
        <v>0</v>
      </c>
      <c r="F185" s="916">
        <v>0</v>
      </c>
      <c r="G185" s="916">
        <v>0</v>
      </c>
      <c r="H185" s="916">
        <v>0</v>
      </c>
      <c r="I185" s="916">
        <v>0</v>
      </c>
      <c r="J185" s="916">
        <v>0</v>
      </c>
      <c r="K185" s="916">
        <v>0</v>
      </c>
      <c r="L185" s="916">
        <v>0</v>
      </c>
      <c r="M185" s="916">
        <v>0</v>
      </c>
      <c r="N185" s="916">
        <f t="shared" si="19"/>
        <v>0</v>
      </c>
    </row>
    <row r="186" spans="2:14" hidden="1" x14ac:dyDescent="0.2">
      <c r="B186" t="s">
        <v>239</v>
      </c>
      <c r="C186" s="916">
        <v>0</v>
      </c>
      <c r="D186" s="916">
        <v>0</v>
      </c>
      <c r="E186" s="916">
        <v>0</v>
      </c>
      <c r="F186" s="916">
        <v>0</v>
      </c>
      <c r="G186" s="916">
        <v>0</v>
      </c>
      <c r="H186" s="916">
        <v>0</v>
      </c>
      <c r="I186" s="916">
        <v>0</v>
      </c>
      <c r="J186" s="916">
        <v>0</v>
      </c>
      <c r="K186" s="916">
        <v>0</v>
      </c>
      <c r="L186" s="916">
        <v>0</v>
      </c>
      <c r="M186" s="916">
        <v>0</v>
      </c>
      <c r="N186" s="916">
        <f t="shared" si="19"/>
        <v>0</v>
      </c>
    </row>
    <row r="187" spans="2:14" hidden="1" x14ac:dyDescent="0.2">
      <c r="B187" t="s">
        <v>240</v>
      </c>
      <c r="C187" s="916">
        <v>0</v>
      </c>
      <c r="D187" s="916">
        <v>0</v>
      </c>
      <c r="E187" s="916">
        <v>0</v>
      </c>
      <c r="F187" s="916">
        <v>0</v>
      </c>
      <c r="G187" s="916">
        <v>0</v>
      </c>
      <c r="H187" s="916">
        <v>0</v>
      </c>
      <c r="I187" s="916">
        <v>0</v>
      </c>
      <c r="J187" s="916">
        <v>0</v>
      </c>
      <c r="K187" s="916">
        <v>0</v>
      </c>
      <c r="L187" s="916">
        <v>0</v>
      </c>
      <c r="M187" s="916">
        <v>0</v>
      </c>
      <c r="N187" s="916">
        <f t="shared" si="19"/>
        <v>0</v>
      </c>
    </row>
    <row r="188" spans="2:14" hidden="1" x14ac:dyDescent="0.2">
      <c r="B188" t="s">
        <v>241</v>
      </c>
      <c r="C188" s="916">
        <v>0</v>
      </c>
      <c r="D188" s="916">
        <v>0</v>
      </c>
      <c r="E188" s="916">
        <v>0</v>
      </c>
      <c r="F188" s="916">
        <v>0</v>
      </c>
      <c r="G188" s="916">
        <v>0</v>
      </c>
      <c r="H188" s="916">
        <v>0</v>
      </c>
      <c r="I188" s="916">
        <v>0</v>
      </c>
      <c r="J188" s="916">
        <v>0</v>
      </c>
      <c r="K188" s="916">
        <v>0</v>
      </c>
      <c r="L188" s="916">
        <v>0</v>
      </c>
      <c r="M188" s="916">
        <v>0</v>
      </c>
      <c r="N188" s="916">
        <f t="shared" si="19"/>
        <v>0</v>
      </c>
    </row>
    <row r="189" spans="2:14" hidden="1" x14ac:dyDescent="0.2">
      <c r="B189" t="s">
        <v>242</v>
      </c>
      <c r="C189" s="916">
        <v>0</v>
      </c>
      <c r="D189" s="916">
        <v>0</v>
      </c>
      <c r="E189" s="916">
        <v>0</v>
      </c>
      <c r="F189" s="916">
        <v>0</v>
      </c>
      <c r="G189" s="916">
        <v>0</v>
      </c>
      <c r="H189" s="916">
        <v>0</v>
      </c>
      <c r="I189" s="916">
        <v>0</v>
      </c>
      <c r="J189" s="916">
        <v>0</v>
      </c>
      <c r="K189" s="916">
        <v>0</v>
      </c>
      <c r="L189" s="916">
        <v>0</v>
      </c>
      <c r="M189" s="916">
        <v>0</v>
      </c>
      <c r="N189" s="916">
        <f t="shared" si="19"/>
        <v>0</v>
      </c>
    </row>
    <row r="190" spans="2:14" hidden="1" x14ac:dyDescent="0.2">
      <c r="B190" t="s">
        <v>243</v>
      </c>
      <c r="C190" s="916">
        <v>0</v>
      </c>
      <c r="D190" s="916">
        <v>0</v>
      </c>
      <c r="E190" s="916">
        <v>0</v>
      </c>
      <c r="F190" s="916">
        <v>0</v>
      </c>
      <c r="G190" s="916">
        <v>0</v>
      </c>
      <c r="H190" s="916">
        <v>0</v>
      </c>
      <c r="I190" s="916">
        <v>0</v>
      </c>
      <c r="J190" s="916">
        <v>0</v>
      </c>
      <c r="K190" s="916">
        <v>0</v>
      </c>
      <c r="L190" s="916">
        <v>0</v>
      </c>
      <c r="M190" s="916">
        <v>0</v>
      </c>
      <c r="N190" s="916">
        <f t="shared" si="19"/>
        <v>0</v>
      </c>
    </row>
    <row r="191" spans="2:14" hidden="1" x14ac:dyDescent="0.2">
      <c r="B191" t="s">
        <v>244</v>
      </c>
      <c r="C191" s="916">
        <v>0</v>
      </c>
      <c r="D191" s="916">
        <v>0</v>
      </c>
      <c r="E191" s="916">
        <v>0</v>
      </c>
      <c r="F191" s="916">
        <v>0</v>
      </c>
      <c r="G191" s="916">
        <v>0</v>
      </c>
      <c r="H191" s="916">
        <v>0</v>
      </c>
      <c r="I191" s="916">
        <v>0</v>
      </c>
      <c r="J191" s="916">
        <v>0</v>
      </c>
      <c r="K191" s="916">
        <v>0</v>
      </c>
      <c r="L191" s="916">
        <v>0</v>
      </c>
      <c r="M191" s="916">
        <v>0</v>
      </c>
      <c r="N191" s="916">
        <f t="shared" si="19"/>
        <v>0</v>
      </c>
    </row>
    <row r="192" spans="2:14" x14ac:dyDescent="0.2">
      <c r="B192" s="2" t="s">
        <v>245</v>
      </c>
      <c r="C192" s="916"/>
      <c r="D192" s="916"/>
      <c r="E192" s="916"/>
      <c r="F192" s="916"/>
      <c r="G192" s="916"/>
      <c r="H192" s="916"/>
      <c r="I192" s="916"/>
      <c r="J192" s="916"/>
      <c r="K192" s="916"/>
      <c r="L192" s="916"/>
      <c r="M192" s="916"/>
      <c r="N192" s="916"/>
    </row>
    <row r="193" spans="2:14" hidden="1" x14ac:dyDescent="0.2">
      <c r="B193" t="s">
        <v>246</v>
      </c>
      <c r="C193" s="916">
        <v>0</v>
      </c>
      <c r="D193" s="916">
        <v>0</v>
      </c>
      <c r="E193" s="916">
        <v>0</v>
      </c>
      <c r="F193" s="916">
        <v>0</v>
      </c>
      <c r="G193" s="916">
        <v>0</v>
      </c>
      <c r="H193" s="916">
        <v>0</v>
      </c>
      <c r="I193" s="916">
        <v>0</v>
      </c>
      <c r="J193" s="916">
        <v>0</v>
      </c>
      <c r="K193" s="916">
        <v>0</v>
      </c>
      <c r="L193" s="916">
        <v>0</v>
      </c>
      <c r="M193" s="916">
        <v>0</v>
      </c>
      <c r="N193" s="916">
        <f t="shared" ref="N193:N208" si="20">SUM(C193:M193)</f>
        <v>0</v>
      </c>
    </row>
    <row r="194" spans="2:14" hidden="1" x14ac:dyDescent="0.2">
      <c r="B194" t="s">
        <v>247</v>
      </c>
      <c r="C194" s="916">
        <v>0</v>
      </c>
      <c r="D194" s="916">
        <v>0</v>
      </c>
      <c r="E194" s="916">
        <v>0</v>
      </c>
      <c r="F194" s="916">
        <v>0</v>
      </c>
      <c r="G194" s="916">
        <v>0</v>
      </c>
      <c r="H194" s="916">
        <v>0</v>
      </c>
      <c r="I194" s="916">
        <v>0</v>
      </c>
      <c r="J194" s="916">
        <v>0</v>
      </c>
      <c r="K194" s="916">
        <v>0</v>
      </c>
      <c r="L194" s="916">
        <v>0</v>
      </c>
      <c r="M194" s="916">
        <v>0</v>
      </c>
      <c r="N194" s="916">
        <f t="shared" si="20"/>
        <v>0</v>
      </c>
    </row>
    <row r="195" spans="2:14" hidden="1" x14ac:dyDescent="0.2">
      <c r="B195" t="s">
        <v>248</v>
      </c>
      <c r="C195" s="916">
        <v>0</v>
      </c>
      <c r="D195" s="916">
        <v>0</v>
      </c>
      <c r="E195" s="916">
        <v>0</v>
      </c>
      <c r="F195" s="916">
        <v>0</v>
      </c>
      <c r="G195" s="916">
        <v>0</v>
      </c>
      <c r="H195" s="916">
        <v>0</v>
      </c>
      <c r="I195" s="916">
        <v>0</v>
      </c>
      <c r="J195" s="916">
        <v>0</v>
      </c>
      <c r="K195" s="916">
        <v>0</v>
      </c>
      <c r="L195" s="916">
        <v>0</v>
      </c>
      <c r="M195" s="916">
        <v>0</v>
      </c>
      <c r="N195" s="916">
        <f t="shared" si="20"/>
        <v>0</v>
      </c>
    </row>
    <row r="196" spans="2:14" hidden="1" x14ac:dyDescent="0.2">
      <c r="B196" t="s">
        <v>249</v>
      </c>
      <c r="C196" s="916">
        <v>0</v>
      </c>
      <c r="D196" s="916">
        <v>0</v>
      </c>
      <c r="E196" s="916">
        <v>0</v>
      </c>
      <c r="F196" s="916">
        <v>0</v>
      </c>
      <c r="G196" s="916">
        <v>0</v>
      </c>
      <c r="H196" s="916">
        <v>0</v>
      </c>
      <c r="I196" s="916">
        <v>0</v>
      </c>
      <c r="J196" s="916">
        <v>0</v>
      </c>
      <c r="K196" s="916">
        <v>0</v>
      </c>
      <c r="L196" s="916">
        <v>0</v>
      </c>
      <c r="M196" s="916">
        <v>0</v>
      </c>
      <c r="N196" s="916">
        <f t="shared" si="20"/>
        <v>0</v>
      </c>
    </row>
    <row r="197" spans="2:14" hidden="1" x14ac:dyDescent="0.2">
      <c r="B197" t="s">
        <v>250</v>
      </c>
      <c r="C197" s="916">
        <v>0</v>
      </c>
      <c r="D197" s="916">
        <v>0</v>
      </c>
      <c r="E197" s="916">
        <v>0</v>
      </c>
      <c r="F197" s="916">
        <v>0</v>
      </c>
      <c r="G197" s="916">
        <v>0</v>
      </c>
      <c r="H197" s="916">
        <v>0</v>
      </c>
      <c r="I197" s="916">
        <v>0</v>
      </c>
      <c r="J197" s="916">
        <v>0</v>
      </c>
      <c r="K197" s="916">
        <v>0</v>
      </c>
      <c r="L197" s="916">
        <v>0</v>
      </c>
      <c r="M197" s="916">
        <v>0</v>
      </c>
      <c r="N197" s="916">
        <f t="shared" si="20"/>
        <v>0</v>
      </c>
    </row>
    <row r="198" spans="2:14" hidden="1" x14ac:dyDescent="0.2">
      <c r="B198" t="s">
        <v>251</v>
      </c>
      <c r="C198" s="916">
        <v>0</v>
      </c>
      <c r="D198" s="916">
        <v>0</v>
      </c>
      <c r="E198" s="916">
        <v>0</v>
      </c>
      <c r="F198" s="916">
        <v>0</v>
      </c>
      <c r="G198" s="916">
        <v>0</v>
      </c>
      <c r="H198" s="916">
        <v>0</v>
      </c>
      <c r="I198" s="916">
        <v>0</v>
      </c>
      <c r="J198" s="916">
        <v>0</v>
      </c>
      <c r="K198" s="916">
        <v>0</v>
      </c>
      <c r="L198" s="916">
        <v>0</v>
      </c>
      <c r="M198" s="916">
        <v>0</v>
      </c>
      <c r="N198" s="916">
        <f t="shared" si="20"/>
        <v>0</v>
      </c>
    </row>
    <row r="199" spans="2:14" hidden="1" x14ac:dyDescent="0.2">
      <c r="B199" t="s">
        <v>252</v>
      </c>
      <c r="C199" s="916">
        <v>0</v>
      </c>
      <c r="D199" s="916">
        <v>0</v>
      </c>
      <c r="E199" s="916">
        <v>0</v>
      </c>
      <c r="F199" s="916">
        <v>0</v>
      </c>
      <c r="G199" s="916">
        <v>0</v>
      </c>
      <c r="H199" s="916">
        <v>0</v>
      </c>
      <c r="I199" s="916">
        <v>0</v>
      </c>
      <c r="J199" s="916">
        <v>0</v>
      </c>
      <c r="K199" s="916">
        <v>0</v>
      </c>
      <c r="L199" s="916">
        <v>0</v>
      </c>
      <c r="M199" s="916">
        <v>0</v>
      </c>
      <c r="N199" s="916">
        <f t="shared" si="20"/>
        <v>0</v>
      </c>
    </row>
    <row r="200" spans="2:14" x14ac:dyDescent="0.2">
      <c r="B200" t="s">
        <v>253</v>
      </c>
      <c r="C200" s="916">
        <v>0</v>
      </c>
      <c r="D200" s="916">
        <v>0</v>
      </c>
      <c r="E200" s="916">
        <v>0</v>
      </c>
      <c r="F200" s="916">
        <v>0</v>
      </c>
      <c r="G200" s="916">
        <v>0</v>
      </c>
      <c r="H200" s="916">
        <v>0</v>
      </c>
      <c r="I200" s="916">
        <v>0</v>
      </c>
      <c r="J200" s="916">
        <v>0</v>
      </c>
      <c r="K200" s="916">
        <v>0</v>
      </c>
      <c r="L200" s="916">
        <v>34819062</v>
      </c>
      <c r="M200" s="916">
        <v>0</v>
      </c>
      <c r="N200" s="916">
        <f t="shared" si="20"/>
        <v>34819062</v>
      </c>
    </row>
    <row r="201" spans="2:14" hidden="1" x14ac:dyDescent="0.2">
      <c r="B201" t="s">
        <v>254</v>
      </c>
      <c r="C201" s="916">
        <v>0</v>
      </c>
      <c r="D201" s="916">
        <v>0</v>
      </c>
      <c r="E201" s="916">
        <v>0</v>
      </c>
      <c r="F201" s="916">
        <v>0</v>
      </c>
      <c r="G201" s="916">
        <v>0</v>
      </c>
      <c r="H201" s="916">
        <v>0</v>
      </c>
      <c r="I201" s="916">
        <v>0</v>
      </c>
      <c r="J201" s="916">
        <v>0</v>
      </c>
      <c r="K201" s="916">
        <v>0</v>
      </c>
      <c r="L201" s="916">
        <v>0</v>
      </c>
      <c r="M201" s="916">
        <v>0</v>
      </c>
      <c r="N201" s="916">
        <f t="shared" si="20"/>
        <v>0</v>
      </c>
    </row>
    <row r="202" spans="2:14" hidden="1" x14ac:dyDescent="0.2">
      <c r="B202" t="s">
        <v>255</v>
      </c>
      <c r="C202" s="916">
        <v>0</v>
      </c>
      <c r="D202" s="916">
        <v>0</v>
      </c>
      <c r="E202" s="916">
        <v>0</v>
      </c>
      <c r="F202" s="916">
        <v>0</v>
      </c>
      <c r="G202" s="916">
        <v>0</v>
      </c>
      <c r="H202" s="916">
        <v>0</v>
      </c>
      <c r="I202" s="916">
        <v>0</v>
      </c>
      <c r="J202" s="916">
        <v>0</v>
      </c>
      <c r="K202" s="916">
        <v>0</v>
      </c>
      <c r="L202" s="916">
        <v>0</v>
      </c>
      <c r="M202" s="916">
        <v>0</v>
      </c>
      <c r="N202" s="916">
        <f t="shared" si="20"/>
        <v>0</v>
      </c>
    </row>
    <row r="203" spans="2:14" hidden="1" x14ac:dyDescent="0.2">
      <c r="B203" t="s">
        <v>256</v>
      </c>
      <c r="C203" s="916">
        <v>0</v>
      </c>
      <c r="D203" s="916">
        <v>0</v>
      </c>
      <c r="E203" s="916">
        <v>0</v>
      </c>
      <c r="F203" s="916">
        <v>0</v>
      </c>
      <c r="G203" s="916">
        <v>0</v>
      </c>
      <c r="H203" s="916">
        <v>0</v>
      </c>
      <c r="I203" s="916">
        <v>0</v>
      </c>
      <c r="J203" s="916">
        <v>0</v>
      </c>
      <c r="K203" s="916">
        <v>0</v>
      </c>
      <c r="L203" s="916">
        <v>0</v>
      </c>
      <c r="M203" s="916">
        <v>0</v>
      </c>
      <c r="N203" s="916">
        <f t="shared" si="20"/>
        <v>0</v>
      </c>
    </row>
    <row r="204" spans="2:14" hidden="1" x14ac:dyDescent="0.2">
      <c r="B204" t="s">
        <v>257</v>
      </c>
      <c r="C204" s="916">
        <v>0</v>
      </c>
      <c r="D204" s="916">
        <v>0</v>
      </c>
      <c r="E204" s="916">
        <v>0</v>
      </c>
      <c r="F204" s="916">
        <v>0</v>
      </c>
      <c r="G204" s="916">
        <v>0</v>
      </c>
      <c r="H204" s="916">
        <v>0</v>
      </c>
      <c r="I204" s="916">
        <v>0</v>
      </c>
      <c r="J204" s="916">
        <v>0</v>
      </c>
      <c r="K204" s="916">
        <v>0</v>
      </c>
      <c r="L204" s="916">
        <v>0</v>
      </c>
      <c r="M204" s="916">
        <v>0</v>
      </c>
      <c r="N204" s="916">
        <f t="shared" si="20"/>
        <v>0</v>
      </c>
    </row>
    <row r="205" spans="2:14" hidden="1" x14ac:dyDescent="0.2">
      <c r="B205" t="s">
        <v>258</v>
      </c>
      <c r="C205" s="916">
        <v>0</v>
      </c>
      <c r="D205" s="916">
        <v>0</v>
      </c>
      <c r="E205" s="916">
        <v>0</v>
      </c>
      <c r="F205" s="916">
        <v>0</v>
      </c>
      <c r="G205" s="916">
        <v>0</v>
      </c>
      <c r="H205" s="916">
        <v>0</v>
      </c>
      <c r="I205" s="916">
        <v>0</v>
      </c>
      <c r="J205" s="916">
        <v>0</v>
      </c>
      <c r="K205" s="916">
        <v>0</v>
      </c>
      <c r="L205" s="916">
        <v>0</v>
      </c>
      <c r="M205" s="916">
        <v>0</v>
      </c>
      <c r="N205" s="916">
        <f t="shared" si="20"/>
        <v>0</v>
      </c>
    </row>
    <row r="206" spans="2:14" hidden="1" x14ac:dyDescent="0.2">
      <c r="B206" t="s">
        <v>259</v>
      </c>
      <c r="C206" s="916">
        <v>0</v>
      </c>
      <c r="D206" s="916">
        <v>0</v>
      </c>
      <c r="E206" s="916">
        <v>0</v>
      </c>
      <c r="F206" s="916">
        <v>0</v>
      </c>
      <c r="G206" s="916">
        <v>0</v>
      </c>
      <c r="H206" s="916">
        <v>0</v>
      </c>
      <c r="I206" s="916">
        <v>0</v>
      </c>
      <c r="J206" s="916">
        <v>0</v>
      </c>
      <c r="K206" s="916">
        <v>0</v>
      </c>
      <c r="L206" s="916">
        <v>0</v>
      </c>
      <c r="M206" s="916">
        <v>0</v>
      </c>
      <c r="N206" s="916">
        <f t="shared" si="20"/>
        <v>0</v>
      </c>
    </row>
    <row r="207" spans="2:14" hidden="1" x14ac:dyDescent="0.2">
      <c r="B207" t="s">
        <v>260</v>
      </c>
      <c r="C207" s="916">
        <v>0</v>
      </c>
      <c r="D207" s="916">
        <v>0</v>
      </c>
      <c r="E207" s="916">
        <v>0</v>
      </c>
      <c r="F207" s="916">
        <v>0</v>
      </c>
      <c r="G207" s="916">
        <v>0</v>
      </c>
      <c r="H207" s="916">
        <v>0</v>
      </c>
      <c r="I207" s="916">
        <v>0</v>
      </c>
      <c r="J207" s="916">
        <v>0</v>
      </c>
      <c r="K207" s="916">
        <v>0</v>
      </c>
      <c r="L207" s="916">
        <v>0</v>
      </c>
      <c r="M207" s="916">
        <v>0</v>
      </c>
      <c r="N207" s="916">
        <f t="shared" si="20"/>
        <v>0</v>
      </c>
    </row>
    <row r="208" spans="2:14" x14ac:dyDescent="0.2">
      <c r="C208" s="916"/>
      <c r="D208" s="916"/>
      <c r="E208" s="916"/>
      <c r="F208" s="916"/>
      <c r="G208" s="916"/>
      <c r="H208" s="916"/>
      <c r="I208" s="916"/>
      <c r="J208" s="916"/>
      <c r="K208" s="916"/>
      <c r="L208" s="916"/>
      <c r="M208" s="916"/>
      <c r="N208" s="916">
        <f t="shared" si="20"/>
        <v>0</v>
      </c>
    </row>
  </sheetData>
  <pageMargins left="0.7" right="0.7" top="0.75" bottom="0.75" header="0.3" footer="0.3"/>
  <pageSetup scale="52" orientation="portrait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8E985-5AA1-4541-8394-3B261F544ACB}">
  <sheetPr>
    <tabColor rgb="FFFF0000"/>
  </sheetPr>
  <dimension ref="A1:I89"/>
  <sheetViews>
    <sheetView showGridLines="0" zoomScale="85" zoomScaleNormal="8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342" customWidth="1"/>
    <col min="2" max="2" width="7.5703125" style="342" customWidth="1"/>
    <col min="3" max="3" width="52.42578125" style="340" bestFit="1" customWidth="1"/>
    <col min="4" max="4" width="19.28515625" style="340" customWidth="1"/>
    <col min="5" max="5" width="17.28515625" style="340" customWidth="1"/>
    <col min="6" max="6" width="15.85546875" style="340" customWidth="1"/>
    <col min="7" max="8" width="18" style="340" customWidth="1"/>
    <col min="9" max="9" width="78.85546875" style="340" bestFit="1" customWidth="1"/>
    <col min="10" max="16384" width="9.140625" style="340"/>
  </cols>
  <sheetData>
    <row r="1" spans="1:9" ht="15" x14ac:dyDescent="0.25">
      <c r="A1" s="334" t="s">
        <v>309</v>
      </c>
      <c r="B1" s="335"/>
      <c r="C1" s="336" t="s">
        <v>557</v>
      </c>
      <c r="D1" s="337">
        <v>-1</v>
      </c>
      <c r="E1" s="338">
        <v>-2</v>
      </c>
      <c r="F1" s="339">
        <v>-3</v>
      </c>
      <c r="G1" s="338">
        <v>-4</v>
      </c>
      <c r="H1" s="337"/>
    </row>
    <row r="2" spans="1:9" ht="15" x14ac:dyDescent="0.25">
      <c r="A2" s="341" t="s">
        <v>311</v>
      </c>
      <c r="C2" s="343" t="s">
        <v>558</v>
      </c>
      <c r="D2" s="344"/>
      <c r="E2" s="345" t="s">
        <v>313</v>
      </c>
      <c r="F2" s="346" t="s">
        <v>314</v>
      </c>
      <c r="G2" s="347"/>
      <c r="H2" s="348" t="s">
        <v>315</v>
      </c>
    </row>
    <row r="3" spans="1:9" s="356" customFormat="1" ht="15" x14ac:dyDescent="0.2">
      <c r="A3" s="349"/>
      <c r="B3" s="350"/>
      <c r="C3" s="351"/>
      <c r="D3" s="352" t="s">
        <v>316</v>
      </c>
      <c r="E3" s="352" t="s">
        <v>317</v>
      </c>
      <c r="F3" s="353" t="s">
        <v>0</v>
      </c>
      <c r="G3" s="354"/>
      <c r="H3" s="355" t="s">
        <v>318</v>
      </c>
    </row>
    <row r="4" spans="1:9" s="357" customFormat="1" ht="15" x14ac:dyDescent="0.2">
      <c r="A4" s="349"/>
      <c r="B4" s="350"/>
      <c r="C4" s="351" t="s">
        <v>319</v>
      </c>
      <c r="D4" s="352" t="s">
        <v>320</v>
      </c>
      <c r="E4" s="352" t="s">
        <v>320</v>
      </c>
      <c r="F4" s="355" t="s">
        <v>321</v>
      </c>
      <c r="G4" s="352" t="s">
        <v>559</v>
      </c>
      <c r="H4" s="355" t="s">
        <v>323</v>
      </c>
      <c r="I4" s="356"/>
    </row>
    <row r="5" spans="1:9" s="357" customFormat="1" ht="15" x14ac:dyDescent="0.25">
      <c r="A5" s="358"/>
      <c r="B5" s="359"/>
      <c r="C5" s="360" t="s">
        <v>315</v>
      </c>
      <c r="D5" s="361">
        <v>43281</v>
      </c>
      <c r="E5" s="361">
        <v>43646</v>
      </c>
      <c r="F5" s="362" t="s">
        <v>324</v>
      </c>
      <c r="G5" s="363" t="s">
        <v>324</v>
      </c>
      <c r="H5" s="362" t="s">
        <v>0</v>
      </c>
      <c r="I5" s="364" t="s">
        <v>325</v>
      </c>
    </row>
    <row r="6" spans="1:9" ht="15" x14ac:dyDescent="0.25">
      <c r="A6" s="365" t="s">
        <v>326</v>
      </c>
      <c r="B6" s="366"/>
      <c r="C6" s="367" t="s">
        <v>327</v>
      </c>
      <c r="D6" s="368"/>
      <c r="E6" s="368"/>
      <c r="F6" s="369"/>
      <c r="G6" s="370"/>
      <c r="H6" s="371">
        <v>0</v>
      </c>
      <c r="I6" s="372"/>
    </row>
    <row r="7" spans="1:9" x14ac:dyDescent="0.2">
      <c r="A7" s="373" t="s">
        <v>328</v>
      </c>
      <c r="B7" s="374"/>
      <c r="C7" s="375" t="s">
        <v>329</v>
      </c>
      <c r="D7" s="368">
        <v>0</v>
      </c>
      <c r="E7" s="368">
        <v>0</v>
      </c>
      <c r="F7" s="369">
        <v>0</v>
      </c>
      <c r="G7" s="370">
        <v>0</v>
      </c>
      <c r="H7" s="371">
        <v>0</v>
      </c>
      <c r="I7" s="372"/>
    </row>
    <row r="8" spans="1:9" x14ac:dyDescent="0.2">
      <c r="A8" s="376"/>
      <c r="B8" s="374" t="s">
        <v>330</v>
      </c>
      <c r="C8" s="375" t="s">
        <v>274</v>
      </c>
      <c r="D8" s="368">
        <v>0</v>
      </c>
      <c r="E8" s="368">
        <v>0</v>
      </c>
      <c r="F8" s="368">
        <v>0</v>
      </c>
      <c r="G8" s="370">
        <v>1043728000</v>
      </c>
      <c r="H8" s="371">
        <v>0</v>
      </c>
      <c r="I8" s="372"/>
    </row>
    <row r="9" spans="1:9" x14ac:dyDescent="0.2">
      <c r="A9" s="376"/>
      <c r="B9" s="374" t="s">
        <v>331</v>
      </c>
      <c r="C9" s="375" t="s">
        <v>332</v>
      </c>
      <c r="D9" s="368">
        <v>0</v>
      </c>
      <c r="E9" s="368">
        <v>0</v>
      </c>
      <c r="F9" s="368">
        <v>0</v>
      </c>
      <c r="G9" s="370">
        <v>71000</v>
      </c>
      <c r="H9" s="371">
        <v>0</v>
      </c>
      <c r="I9" s="372"/>
    </row>
    <row r="10" spans="1:9" x14ac:dyDescent="0.2">
      <c r="A10" s="376"/>
      <c r="B10" s="374" t="s">
        <v>333</v>
      </c>
      <c r="C10" s="375" t="s">
        <v>334</v>
      </c>
      <c r="D10" s="368">
        <v>0</v>
      </c>
      <c r="E10" s="368">
        <v>0</v>
      </c>
      <c r="F10" s="368">
        <v>0</v>
      </c>
      <c r="G10" s="370">
        <v>6544000</v>
      </c>
      <c r="H10" s="371">
        <v>0</v>
      </c>
      <c r="I10" s="372"/>
    </row>
    <row r="11" spans="1:9" x14ac:dyDescent="0.2">
      <c r="A11" s="376"/>
      <c r="B11" s="374" t="s">
        <v>335</v>
      </c>
      <c r="C11" s="375" t="s">
        <v>276</v>
      </c>
      <c r="D11" s="368">
        <v>0</v>
      </c>
      <c r="E11" s="368">
        <v>0</v>
      </c>
      <c r="F11" s="368">
        <v>0</v>
      </c>
      <c r="G11" s="370">
        <v>1100530000</v>
      </c>
      <c r="H11" s="371">
        <v>0</v>
      </c>
      <c r="I11" s="372"/>
    </row>
    <row r="12" spans="1:9" hidden="1" x14ac:dyDescent="0.2">
      <c r="A12" s="376"/>
      <c r="B12" s="374" t="s">
        <v>336</v>
      </c>
      <c r="C12" s="375" t="s">
        <v>227</v>
      </c>
      <c r="D12" s="368">
        <v>0</v>
      </c>
      <c r="E12" s="368">
        <v>0</v>
      </c>
      <c r="F12" s="369">
        <v>0</v>
      </c>
      <c r="G12" s="370">
        <v>0</v>
      </c>
      <c r="H12" s="371">
        <v>0</v>
      </c>
      <c r="I12" s="372"/>
    </row>
    <row r="13" spans="1:9" hidden="1" x14ac:dyDescent="0.2">
      <c r="A13" s="376" t="s">
        <v>337</v>
      </c>
      <c r="B13" s="374"/>
      <c r="C13" s="375" t="s">
        <v>338</v>
      </c>
      <c r="D13" s="368">
        <v>0</v>
      </c>
      <c r="E13" s="368">
        <v>0</v>
      </c>
      <c r="F13" s="369">
        <v>0</v>
      </c>
      <c r="G13" s="370">
        <v>0</v>
      </c>
      <c r="H13" s="371">
        <v>0</v>
      </c>
      <c r="I13" s="372"/>
    </row>
    <row r="14" spans="1:9" x14ac:dyDescent="0.2">
      <c r="A14" s="376"/>
      <c r="B14" s="374" t="s">
        <v>339</v>
      </c>
      <c r="C14" s="375" t="s">
        <v>277</v>
      </c>
      <c r="D14" s="368">
        <v>0</v>
      </c>
      <c r="E14" s="368">
        <v>0</v>
      </c>
      <c r="F14" s="368">
        <v>0</v>
      </c>
      <c r="G14" s="370">
        <v>4360000</v>
      </c>
      <c r="H14" s="371">
        <v>0</v>
      </c>
      <c r="I14" s="372"/>
    </row>
    <row r="15" spans="1:9" x14ac:dyDescent="0.2">
      <c r="A15" s="376"/>
      <c r="B15" s="374" t="s">
        <v>340</v>
      </c>
      <c r="C15" s="375" t="s">
        <v>278</v>
      </c>
      <c r="D15" s="368">
        <v>0</v>
      </c>
      <c r="E15" s="368">
        <v>0</v>
      </c>
      <c r="F15" s="368">
        <v>0</v>
      </c>
      <c r="G15" s="370">
        <v>112155826</v>
      </c>
      <c r="H15" s="371">
        <v>0</v>
      </c>
      <c r="I15" s="372"/>
    </row>
    <row r="16" spans="1:9" hidden="1" x14ac:dyDescent="0.2">
      <c r="A16" s="376"/>
      <c r="B16" s="374" t="s">
        <v>341</v>
      </c>
      <c r="C16" s="375" t="s">
        <v>342</v>
      </c>
      <c r="D16" s="368">
        <v>0</v>
      </c>
      <c r="E16" s="368">
        <v>0</v>
      </c>
      <c r="F16" s="369">
        <v>0</v>
      </c>
      <c r="G16" s="370">
        <v>0</v>
      </c>
      <c r="H16" s="371">
        <v>0</v>
      </c>
      <c r="I16" s="372"/>
    </row>
    <row r="17" spans="1:9" x14ac:dyDescent="0.2">
      <c r="A17" s="376" t="s">
        <v>343</v>
      </c>
      <c r="B17" s="374"/>
      <c r="C17" s="375" t="s">
        <v>344</v>
      </c>
      <c r="D17" s="368">
        <v>0</v>
      </c>
      <c r="E17" s="368">
        <v>0</v>
      </c>
      <c r="F17" s="369">
        <v>0</v>
      </c>
      <c r="G17" s="370">
        <v>1370000</v>
      </c>
      <c r="H17" s="371">
        <v>0</v>
      </c>
      <c r="I17" s="372"/>
    </row>
    <row r="18" spans="1:9" x14ac:dyDescent="0.2">
      <c r="A18" s="376" t="s">
        <v>345</v>
      </c>
      <c r="B18" s="374"/>
      <c r="C18" s="375" t="s">
        <v>282</v>
      </c>
      <c r="D18" s="368">
        <v>0</v>
      </c>
      <c r="E18" s="368">
        <v>0</v>
      </c>
      <c r="F18" s="369">
        <v>0</v>
      </c>
      <c r="G18" s="370">
        <v>2820000</v>
      </c>
      <c r="H18" s="371">
        <v>0</v>
      </c>
      <c r="I18" s="372"/>
    </row>
    <row r="19" spans="1:9" x14ac:dyDescent="0.2">
      <c r="A19" s="376" t="s">
        <v>346</v>
      </c>
      <c r="B19" s="374"/>
      <c r="C19" s="375" t="s">
        <v>283</v>
      </c>
      <c r="D19" s="368">
        <v>0</v>
      </c>
      <c r="E19" s="368">
        <v>0</v>
      </c>
      <c r="F19" s="369">
        <v>0</v>
      </c>
      <c r="G19" s="370">
        <v>360000</v>
      </c>
      <c r="H19" s="371">
        <v>0</v>
      </c>
      <c r="I19" s="372"/>
    </row>
    <row r="20" spans="1:9" x14ac:dyDescent="0.2">
      <c r="A20" s="376" t="s">
        <v>347</v>
      </c>
      <c r="B20" s="374"/>
      <c r="C20" s="375" t="s">
        <v>284</v>
      </c>
      <c r="D20" s="368">
        <v>0</v>
      </c>
      <c r="E20" s="368">
        <v>0</v>
      </c>
      <c r="F20" s="369">
        <v>0</v>
      </c>
      <c r="G20" s="370">
        <v>17905000</v>
      </c>
      <c r="H20" s="371">
        <v>0</v>
      </c>
      <c r="I20" s="372"/>
    </row>
    <row r="21" spans="1:9" hidden="1" x14ac:dyDescent="0.2">
      <c r="A21" s="376" t="s">
        <v>348</v>
      </c>
      <c r="B21" s="374"/>
      <c r="C21" s="375" t="s">
        <v>349</v>
      </c>
      <c r="D21" s="368">
        <v>0</v>
      </c>
      <c r="E21" s="368">
        <v>0</v>
      </c>
      <c r="F21" s="369">
        <v>0</v>
      </c>
      <c r="G21" s="370">
        <v>0</v>
      </c>
      <c r="H21" s="371">
        <v>0</v>
      </c>
      <c r="I21" s="372"/>
    </row>
    <row r="22" spans="1:9" x14ac:dyDescent="0.2">
      <c r="A22" s="376"/>
      <c r="B22" s="374" t="s">
        <v>350</v>
      </c>
      <c r="C22" s="375" t="s">
        <v>351</v>
      </c>
      <c r="D22" s="368">
        <v>0</v>
      </c>
      <c r="E22" s="368">
        <v>0</v>
      </c>
      <c r="F22" s="369">
        <v>0</v>
      </c>
      <c r="G22" s="370">
        <v>11000000</v>
      </c>
      <c r="H22" s="371">
        <v>0</v>
      </c>
      <c r="I22" s="372"/>
    </row>
    <row r="23" spans="1:9" hidden="1" x14ac:dyDescent="0.2">
      <c r="A23" s="376"/>
      <c r="B23" s="374" t="s">
        <v>352</v>
      </c>
      <c r="C23" s="375" t="s">
        <v>353</v>
      </c>
      <c r="D23" s="368">
        <v>0</v>
      </c>
      <c r="E23" s="368">
        <v>0</v>
      </c>
      <c r="F23" s="369">
        <v>0</v>
      </c>
      <c r="G23" s="370">
        <v>0</v>
      </c>
      <c r="H23" s="371">
        <v>0</v>
      </c>
      <c r="I23" s="372"/>
    </row>
    <row r="24" spans="1:9" hidden="1" x14ac:dyDescent="0.2">
      <c r="A24" s="376"/>
      <c r="B24" s="374" t="s">
        <v>354</v>
      </c>
      <c r="C24" s="375" t="s">
        <v>355</v>
      </c>
      <c r="D24" s="368">
        <v>0</v>
      </c>
      <c r="E24" s="368">
        <v>0</v>
      </c>
      <c r="F24" s="369">
        <v>0</v>
      </c>
      <c r="G24" s="370">
        <v>0</v>
      </c>
      <c r="H24" s="371">
        <v>0</v>
      </c>
      <c r="I24" s="372"/>
    </row>
    <row r="25" spans="1:9" hidden="1" x14ac:dyDescent="0.2">
      <c r="A25" s="376"/>
      <c r="B25" s="374" t="s">
        <v>356</v>
      </c>
      <c r="C25" s="375" t="s">
        <v>357</v>
      </c>
      <c r="D25" s="368">
        <v>0</v>
      </c>
      <c r="E25" s="368">
        <v>0</v>
      </c>
      <c r="F25" s="369">
        <v>0</v>
      </c>
      <c r="G25" s="370">
        <v>0</v>
      </c>
      <c r="H25" s="371">
        <v>0</v>
      </c>
      <c r="I25" s="372"/>
    </row>
    <row r="26" spans="1:9" x14ac:dyDescent="0.2">
      <c r="A26" s="373" t="s">
        <v>358</v>
      </c>
      <c r="B26" s="374"/>
      <c r="C26" s="375" t="s">
        <v>359</v>
      </c>
      <c r="D26" s="368">
        <v>0</v>
      </c>
      <c r="E26" s="368">
        <v>0</v>
      </c>
      <c r="F26" s="369">
        <v>0</v>
      </c>
      <c r="G26" s="370">
        <v>83140000</v>
      </c>
      <c r="H26" s="371">
        <v>0</v>
      </c>
      <c r="I26" s="372"/>
    </row>
    <row r="27" spans="1:9" hidden="1" x14ac:dyDescent="0.2">
      <c r="A27" s="373" t="s">
        <v>360</v>
      </c>
      <c r="B27" s="374"/>
      <c r="C27" s="375" t="s">
        <v>361</v>
      </c>
      <c r="D27" s="368">
        <v>0</v>
      </c>
      <c r="E27" s="368">
        <v>0</v>
      </c>
      <c r="F27" s="369">
        <v>0</v>
      </c>
      <c r="G27" s="370">
        <v>0</v>
      </c>
      <c r="H27" s="371">
        <v>0</v>
      </c>
      <c r="I27" s="372"/>
    </row>
    <row r="28" spans="1:9" x14ac:dyDescent="0.2">
      <c r="A28" s="373" t="s">
        <v>362</v>
      </c>
      <c r="B28" s="374"/>
      <c r="C28" s="375" t="s">
        <v>280</v>
      </c>
      <c r="D28" s="368">
        <v>0</v>
      </c>
      <c r="E28" s="368">
        <v>0</v>
      </c>
      <c r="F28" s="369">
        <v>0</v>
      </c>
      <c r="G28" s="370">
        <v>8335000</v>
      </c>
      <c r="H28" s="371">
        <v>0</v>
      </c>
      <c r="I28" s="372"/>
    </row>
    <row r="29" spans="1:9" x14ac:dyDescent="0.2">
      <c r="A29" s="377"/>
      <c r="B29" s="378" t="s">
        <v>363</v>
      </c>
      <c r="C29" s="375" t="s">
        <v>287</v>
      </c>
      <c r="D29" s="368">
        <v>0</v>
      </c>
      <c r="E29" s="368">
        <v>0</v>
      </c>
      <c r="F29" s="369">
        <v>0</v>
      </c>
      <c r="G29" s="370">
        <v>1649600</v>
      </c>
      <c r="H29" s="371">
        <v>0</v>
      </c>
      <c r="I29" s="372"/>
    </row>
    <row r="30" spans="1:9" x14ac:dyDescent="0.2">
      <c r="A30" s="379"/>
      <c r="B30" s="378" t="s">
        <v>364</v>
      </c>
      <c r="C30" s="380" t="s">
        <v>288</v>
      </c>
      <c r="D30" s="368">
        <v>0</v>
      </c>
      <c r="E30" s="368">
        <v>0</v>
      </c>
      <c r="F30" s="369">
        <v>0</v>
      </c>
      <c r="G30" s="370">
        <v>3304944</v>
      </c>
      <c r="H30" s="371">
        <v>0</v>
      </c>
      <c r="I30" s="372"/>
    </row>
    <row r="31" spans="1:9" hidden="1" x14ac:dyDescent="0.2">
      <c r="A31" s="373" t="s">
        <v>365</v>
      </c>
      <c r="B31" s="374"/>
      <c r="C31" s="375" t="s">
        <v>366</v>
      </c>
      <c r="D31" s="368">
        <v>0</v>
      </c>
      <c r="E31" s="368">
        <v>0</v>
      </c>
      <c r="F31" s="369">
        <v>0</v>
      </c>
      <c r="G31" s="370">
        <v>0</v>
      </c>
      <c r="H31" s="371">
        <v>0</v>
      </c>
      <c r="I31" s="372"/>
    </row>
    <row r="32" spans="1:9" x14ac:dyDescent="0.2">
      <c r="A32" s="379"/>
      <c r="B32" s="378" t="s">
        <v>367</v>
      </c>
      <c r="C32" s="375" t="s">
        <v>289</v>
      </c>
      <c r="D32" s="368">
        <v>0</v>
      </c>
      <c r="E32" s="368">
        <v>0</v>
      </c>
      <c r="F32" s="369">
        <v>0</v>
      </c>
      <c r="G32" s="370">
        <v>49085000</v>
      </c>
      <c r="H32" s="371">
        <v>0</v>
      </c>
      <c r="I32" s="372"/>
    </row>
    <row r="33" spans="1:9" ht="15.75" thickBot="1" x14ac:dyDescent="0.3">
      <c r="A33" s="381" t="s">
        <v>124</v>
      </c>
      <c r="B33" s="382"/>
      <c r="C33" s="383"/>
      <c r="D33" s="384">
        <f>SUM(D6:D32)</f>
        <v>0</v>
      </c>
      <c r="E33" s="384">
        <f>SUM(E6:E32)</f>
        <v>0</v>
      </c>
      <c r="F33" s="385">
        <f>SUM(F6:F32)</f>
        <v>0</v>
      </c>
      <c r="G33" s="384">
        <f>SUM(G6:G32)</f>
        <v>2446358370</v>
      </c>
      <c r="H33" s="386">
        <f>SUM(H6:H32)</f>
        <v>0</v>
      </c>
      <c r="I33" s="372"/>
    </row>
    <row r="34" spans="1:9" ht="15.75" thickTop="1" x14ac:dyDescent="0.25">
      <c r="A34" s="387" t="s">
        <v>368</v>
      </c>
      <c r="B34" s="388"/>
      <c r="C34" s="389" t="s">
        <v>369</v>
      </c>
      <c r="D34" s="368"/>
      <c r="E34" s="368"/>
      <c r="F34" s="369"/>
      <c r="G34" s="370"/>
      <c r="H34" s="390">
        <v>0</v>
      </c>
      <c r="I34" s="372"/>
    </row>
    <row r="35" spans="1:9" x14ac:dyDescent="0.2">
      <c r="A35" s="376"/>
      <c r="B35" s="374" t="s">
        <v>370</v>
      </c>
      <c r="C35" s="375" t="s">
        <v>371</v>
      </c>
      <c r="D35" s="368">
        <v>0</v>
      </c>
      <c r="E35" s="368">
        <v>0</v>
      </c>
      <c r="F35" s="368">
        <v>0</v>
      </c>
      <c r="G35" s="370">
        <v>577631000</v>
      </c>
      <c r="H35" s="371">
        <v>0</v>
      </c>
      <c r="I35" s="372"/>
    </row>
    <row r="36" spans="1:9" ht="15" x14ac:dyDescent="0.25">
      <c r="A36" s="391"/>
      <c r="B36" s="392" t="s">
        <v>372</v>
      </c>
      <c r="C36" s="393" t="s">
        <v>373</v>
      </c>
      <c r="D36" s="368">
        <v>0</v>
      </c>
      <c r="E36" s="368">
        <v>0</v>
      </c>
      <c r="F36" s="369">
        <v>0</v>
      </c>
      <c r="G36" s="370">
        <v>0</v>
      </c>
      <c r="H36" s="371">
        <v>0</v>
      </c>
      <c r="I36" s="394" t="s">
        <v>560</v>
      </c>
    </row>
    <row r="37" spans="1:9" x14ac:dyDescent="0.2">
      <c r="A37" s="376"/>
      <c r="B37" s="374" t="s">
        <v>374</v>
      </c>
      <c r="C37" s="375" t="s">
        <v>293</v>
      </c>
      <c r="D37" s="368">
        <v>0</v>
      </c>
      <c r="E37" s="368">
        <v>0</v>
      </c>
      <c r="F37" s="368">
        <v>0</v>
      </c>
      <c r="G37" s="370">
        <v>136680000</v>
      </c>
      <c r="H37" s="371">
        <v>0</v>
      </c>
      <c r="I37" s="395"/>
    </row>
    <row r="38" spans="1:9" ht="15" x14ac:dyDescent="0.25">
      <c r="A38" s="376"/>
      <c r="B38" s="396" t="s">
        <v>10</v>
      </c>
      <c r="C38" s="397" t="s">
        <v>561</v>
      </c>
      <c r="D38" s="368">
        <v>0</v>
      </c>
      <c r="E38" s="368">
        <v>0</v>
      </c>
      <c r="F38" s="369">
        <v>0</v>
      </c>
      <c r="G38" s="370">
        <v>0</v>
      </c>
      <c r="H38" s="371">
        <v>0</v>
      </c>
      <c r="I38" s="394" t="s">
        <v>562</v>
      </c>
    </row>
    <row r="39" spans="1:9" ht="15" x14ac:dyDescent="0.25">
      <c r="A39" s="376"/>
      <c r="B39" s="396" t="s">
        <v>10</v>
      </c>
      <c r="C39" s="397" t="s">
        <v>141</v>
      </c>
      <c r="D39" s="368">
        <v>0</v>
      </c>
      <c r="E39" s="368">
        <v>0</v>
      </c>
      <c r="F39" s="369">
        <v>0</v>
      </c>
      <c r="G39" s="370">
        <v>0</v>
      </c>
      <c r="H39" s="371">
        <v>0</v>
      </c>
      <c r="I39" s="398" t="s">
        <v>563</v>
      </c>
    </row>
    <row r="40" spans="1:9" ht="15" x14ac:dyDescent="0.25">
      <c r="A40" s="376"/>
      <c r="B40" s="396" t="s">
        <v>10</v>
      </c>
      <c r="C40" s="397" t="s">
        <v>564</v>
      </c>
      <c r="D40" s="368">
        <v>0</v>
      </c>
      <c r="E40" s="368">
        <v>0</v>
      </c>
      <c r="F40" s="369">
        <v>0</v>
      </c>
      <c r="G40" s="370">
        <v>0</v>
      </c>
      <c r="H40" s="371">
        <v>0</v>
      </c>
      <c r="I40" s="398" t="s">
        <v>565</v>
      </c>
    </row>
    <row r="41" spans="1:9" ht="15" x14ac:dyDescent="0.25">
      <c r="A41" s="376"/>
      <c r="B41" s="396" t="s">
        <v>10</v>
      </c>
      <c r="C41" s="397" t="s">
        <v>566</v>
      </c>
      <c r="D41" s="368">
        <v>0</v>
      </c>
      <c r="E41" s="368">
        <v>0</v>
      </c>
      <c r="F41" s="369">
        <v>0</v>
      </c>
      <c r="G41" s="370">
        <v>0</v>
      </c>
      <c r="H41" s="371">
        <v>0</v>
      </c>
      <c r="I41" s="398" t="s">
        <v>567</v>
      </c>
    </row>
    <row r="42" spans="1:9" s="407" customFormat="1" x14ac:dyDescent="0.2">
      <c r="A42" s="399" t="s">
        <v>377</v>
      </c>
      <c r="B42" s="400"/>
      <c r="C42" s="401" t="s">
        <v>378</v>
      </c>
      <c r="D42" s="402">
        <v>0</v>
      </c>
      <c r="E42" s="402">
        <v>0</v>
      </c>
      <c r="F42" s="403">
        <v>0</v>
      </c>
      <c r="G42" s="404">
        <v>239040450</v>
      </c>
      <c r="H42" s="405">
        <v>0</v>
      </c>
      <c r="I42" s="406"/>
    </row>
    <row r="43" spans="1:9" x14ac:dyDescent="0.2">
      <c r="A43" s="376"/>
      <c r="B43" s="374" t="s">
        <v>379</v>
      </c>
      <c r="C43" s="375" t="s">
        <v>31</v>
      </c>
      <c r="D43" s="368">
        <v>0</v>
      </c>
      <c r="E43" s="368">
        <v>0</v>
      </c>
      <c r="F43" s="368">
        <v>0</v>
      </c>
      <c r="G43" s="370">
        <v>0</v>
      </c>
      <c r="H43" s="371">
        <v>0</v>
      </c>
      <c r="I43" s="395"/>
    </row>
    <row r="44" spans="1:9" ht="15" x14ac:dyDescent="0.25">
      <c r="A44" s="376"/>
      <c r="B44" s="396" t="s">
        <v>33</v>
      </c>
      <c r="C44" s="397" t="s">
        <v>222</v>
      </c>
      <c r="D44" s="368">
        <v>0</v>
      </c>
      <c r="E44" s="368">
        <v>0</v>
      </c>
      <c r="F44" s="369">
        <v>0</v>
      </c>
      <c r="G44" s="370">
        <v>0</v>
      </c>
      <c r="H44" s="371">
        <v>0</v>
      </c>
      <c r="I44" s="398" t="s">
        <v>568</v>
      </c>
    </row>
    <row r="45" spans="1:9" x14ac:dyDescent="0.2">
      <c r="A45" s="376"/>
      <c r="B45" s="374" t="s">
        <v>380</v>
      </c>
      <c r="C45" s="375" t="s">
        <v>381</v>
      </c>
      <c r="D45" s="368">
        <v>0</v>
      </c>
      <c r="E45" s="368">
        <v>0</v>
      </c>
      <c r="F45" s="369">
        <v>0</v>
      </c>
      <c r="G45" s="370">
        <v>0</v>
      </c>
      <c r="H45" s="371">
        <v>0</v>
      </c>
      <c r="I45" s="372"/>
    </row>
    <row r="46" spans="1:9" x14ac:dyDescent="0.2">
      <c r="A46" s="376"/>
      <c r="B46" s="374" t="s">
        <v>382</v>
      </c>
      <c r="C46" s="375" t="s">
        <v>191</v>
      </c>
      <c r="D46" s="368">
        <v>0</v>
      </c>
      <c r="E46" s="368">
        <v>0</v>
      </c>
      <c r="F46" s="368">
        <v>0</v>
      </c>
      <c r="G46" s="370">
        <v>126000000</v>
      </c>
      <c r="H46" s="371">
        <v>0</v>
      </c>
      <c r="I46" s="372"/>
    </row>
    <row r="47" spans="1:9" hidden="1" x14ac:dyDescent="0.2">
      <c r="A47" s="376" t="s">
        <v>383</v>
      </c>
      <c r="B47" s="408"/>
      <c r="C47" s="375" t="s">
        <v>384</v>
      </c>
      <c r="D47" s="368">
        <v>0</v>
      </c>
      <c r="E47" s="368">
        <v>0</v>
      </c>
      <c r="F47" s="369">
        <v>0</v>
      </c>
      <c r="G47" s="370">
        <v>0</v>
      </c>
      <c r="H47" s="371">
        <v>0</v>
      </c>
      <c r="I47" s="409"/>
    </row>
    <row r="48" spans="1:9" hidden="1" x14ac:dyDescent="0.2">
      <c r="A48" s="376" t="s">
        <v>385</v>
      </c>
      <c r="B48" s="410"/>
      <c r="C48" s="375" t="s">
        <v>386</v>
      </c>
      <c r="D48" s="368">
        <v>0</v>
      </c>
      <c r="E48" s="368">
        <v>0</v>
      </c>
      <c r="F48" s="369">
        <v>0</v>
      </c>
      <c r="G48" s="370">
        <v>0</v>
      </c>
      <c r="H48" s="371">
        <v>0</v>
      </c>
      <c r="I48" s="372"/>
    </row>
    <row r="49" spans="1:9" ht="15.75" thickBot="1" x14ac:dyDescent="0.3">
      <c r="A49" s="411" t="s">
        <v>125</v>
      </c>
      <c r="B49" s="412"/>
      <c r="C49" s="413"/>
      <c r="D49" s="414">
        <f>SUM(D34:D48)</f>
        <v>0</v>
      </c>
      <c r="E49" s="414">
        <f>SUM(E34:E48)</f>
        <v>0</v>
      </c>
      <c r="F49" s="415">
        <f>SUM(F34:F48)</f>
        <v>0</v>
      </c>
      <c r="G49" s="414">
        <f>SUM(G34:G48)</f>
        <v>1079351450</v>
      </c>
      <c r="H49" s="386">
        <f>SUM(H34:H48)</f>
        <v>0</v>
      </c>
      <c r="I49" s="416"/>
    </row>
    <row r="50" spans="1:9" ht="15.75" thickTop="1" x14ac:dyDescent="0.25">
      <c r="A50" s="417"/>
      <c r="B50" s="418"/>
      <c r="C50" s="418"/>
      <c r="D50" s="418"/>
      <c r="E50" s="418"/>
      <c r="F50" s="418"/>
      <c r="G50" s="418"/>
      <c r="H50" s="419"/>
      <c r="I50" s="336"/>
    </row>
    <row r="51" spans="1:9" ht="15" x14ac:dyDescent="0.25">
      <c r="A51" s="420" t="s">
        <v>569</v>
      </c>
      <c r="B51" s="421"/>
      <c r="C51" s="421"/>
      <c r="D51" s="421"/>
      <c r="E51" s="421"/>
      <c r="F51" s="421"/>
      <c r="G51" s="421"/>
      <c r="H51" s="422"/>
      <c r="I51" s="423"/>
    </row>
    <row r="52" spans="1:9" ht="15" x14ac:dyDescent="0.25">
      <c r="A52" s="417" t="s">
        <v>387</v>
      </c>
      <c r="B52" s="418"/>
      <c r="C52" s="424" t="s">
        <v>388</v>
      </c>
      <c r="D52" s="425"/>
      <c r="E52" s="426"/>
      <c r="F52" s="427"/>
      <c r="G52" s="426"/>
      <c r="H52" s="428"/>
      <c r="I52" s="429"/>
    </row>
    <row r="53" spans="1:9" x14ac:dyDescent="0.2">
      <c r="A53" s="430" t="s">
        <v>389</v>
      </c>
      <c r="B53" s="431"/>
      <c r="C53" s="375" t="s">
        <v>390</v>
      </c>
      <c r="D53" s="432">
        <v>0</v>
      </c>
      <c r="E53" s="368">
        <v>0</v>
      </c>
      <c r="F53" s="433">
        <v>0</v>
      </c>
      <c r="G53" s="432">
        <v>186000</v>
      </c>
      <c r="H53" s="390">
        <v>0</v>
      </c>
      <c r="I53" s="372" t="s">
        <v>570</v>
      </c>
    </row>
    <row r="54" spans="1:9" hidden="1" x14ac:dyDescent="0.2">
      <c r="A54" s="430" t="s">
        <v>391</v>
      </c>
      <c r="B54" s="431"/>
      <c r="C54" s="375" t="s">
        <v>392</v>
      </c>
      <c r="D54" s="432">
        <v>0</v>
      </c>
      <c r="E54" s="368">
        <v>0</v>
      </c>
      <c r="F54" s="433">
        <v>0</v>
      </c>
      <c r="G54" s="432">
        <v>0</v>
      </c>
      <c r="H54" s="390">
        <v>0</v>
      </c>
      <c r="I54" s="372"/>
    </row>
    <row r="55" spans="1:9" x14ac:dyDescent="0.2">
      <c r="A55" s="434" t="s">
        <v>395</v>
      </c>
      <c r="B55" s="431"/>
      <c r="C55" s="375" t="s">
        <v>299</v>
      </c>
      <c r="D55" s="432">
        <v>0</v>
      </c>
      <c r="E55" s="368">
        <v>0</v>
      </c>
      <c r="F55" s="433">
        <v>0</v>
      </c>
      <c r="G55" s="432">
        <v>5650000</v>
      </c>
      <c r="H55" s="390">
        <v>0</v>
      </c>
      <c r="I55" s="372" t="s">
        <v>571</v>
      </c>
    </row>
    <row r="56" spans="1:9" x14ac:dyDescent="0.2">
      <c r="A56" s="430" t="s">
        <v>396</v>
      </c>
      <c r="B56" s="431"/>
      <c r="C56" s="375" t="s">
        <v>298</v>
      </c>
      <c r="D56" s="432">
        <v>0</v>
      </c>
      <c r="E56" s="368">
        <v>0</v>
      </c>
      <c r="F56" s="433">
        <v>0</v>
      </c>
      <c r="G56" s="432">
        <v>324991910</v>
      </c>
      <c r="H56" s="390">
        <v>0</v>
      </c>
      <c r="I56" s="372" t="s">
        <v>572</v>
      </c>
    </row>
    <row r="57" spans="1:9" hidden="1" x14ac:dyDescent="0.2">
      <c r="A57" s="434" t="s">
        <v>397</v>
      </c>
      <c r="B57" s="431"/>
      <c r="C57" s="375" t="s">
        <v>398</v>
      </c>
      <c r="D57" s="432">
        <v>0</v>
      </c>
      <c r="E57" s="368">
        <v>0</v>
      </c>
      <c r="F57" s="433">
        <v>0</v>
      </c>
      <c r="G57" s="432">
        <v>0</v>
      </c>
      <c r="H57" s="390">
        <v>0</v>
      </c>
      <c r="I57" s="372"/>
    </row>
    <row r="58" spans="1:9" x14ac:dyDescent="0.2">
      <c r="A58" s="430" t="s">
        <v>399</v>
      </c>
      <c r="B58" s="431"/>
      <c r="C58" s="375" t="s">
        <v>400</v>
      </c>
      <c r="D58" s="432">
        <v>0</v>
      </c>
      <c r="E58" s="368">
        <v>0</v>
      </c>
      <c r="F58" s="433">
        <v>0</v>
      </c>
      <c r="G58" s="432">
        <v>21350000</v>
      </c>
      <c r="H58" s="390">
        <v>0</v>
      </c>
      <c r="I58" s="372"/>
    </row>
    <row r="59" spans="1:9" ht="15.75" thickBot="1" x14ac:dyDescent="0.3">
      <c r="A59" s="435" t="s">
        <v>126</v>
      </c>
      <c r="B59" s="436"/>
      <c r="C59" s="383"/>
      <c r="D59" s="384">
        <f>SUM(D52:D58)</f>
        <v>0</v>
      </c>
      <c r="E59" s="384">
        <f t="shared" ref="E59:H59" si="0">SUM(E52:E58)</f>
        <v>0</v>
      </c>
      <c r="F59" s="385">
        <f>SUM(F52:F58)</f>
        <v>0</v>
      </c>
      <c r="G59" s="384">
        <f>SUM(G52:G58)</f>
        <v>352177910</v>
      </c>
      <c r="H59" s="386">
        <f t="shared" si="0"/>
        <v>0</v>
      </c>
      <c r="I59" s="372"/>
    </row>
    <row r="60" spans="1:9" ht="15.75" thickTop="1" x14ac:dyDescent="0.25">
      <c r="A60" s="420" t="s">
        <v>401</v>
      </c>
      <c r="B60" s="421"/>
      <c r="C60" s="367" t="s">
        <v>402</v>
      </c>
      <c r="D60" s="437"/>
      <c r="E60" s="438"/>
      <c r="F60" s="439"/>
      <c r="G60" s="438"/>
      <c r="H60" s="390">
        <v>0</v>
      </c>
      <c r="I60" s="372"/>
    </row>
    <row r="61" spans="1:9" hidden="1" x14ac:dyDescent="0.2">
      <c r="A61" s="430" t="s">
        <v>403</v>
      </c>
      <c r="B61" s="440"/>
      <c r="C61" s="375" t="s">
        <v>404</v>
      </c>
      <c r="D61" s="432">
        <v>0</v>
      </c>
      <c r="E61" s="441">
        <v>0</v>
      </c>
      <c r="F61" s="433">
        <v>0</v>
      </c>
      <c r="G61" s="432">
        <v>0</v>
      </c>
      <c r="H61" s="390">
        <v>0</v>
      </c>
      <c r="I61" s="372"/>
    </row>
    <row r="62" spans="1:9" x14ac:dyDescent="0.2">
      <c r="A62" s="434"/>
      <c r="B62" s="440" t="s">
        <v>405</v>
      </c>
      <c r="C62" s="375" t="s">
        <v>406</v>
      </c>
      <c r="D62" s="432">
        <v>0</v>
      </c>
      <c r="E62" s="368">
        <v>0</v>
      </c>
      <c r="F62" s="433">
        <v>0</v>
      </c>
      <c r="G62" s="432">
        <v>435000000</v>
      </c>
      <c r="H62" s="390">
        <v>0</v>
      </c>
      <c r="I62" s="372"/>
    </row>
    <row r="63" spans="1:9" x14ac:dyDescent="0.2">
      <c r="A63" s="434"/>
      <c r="B63" s="440" t="s">
        <v>407</v>
      </c>
      <c r="C63" s="375" t="s">
        <v>408</v>
      </c>
      <c r="D63" s="432">
        <v>0</v>
      </c>
      <c r="E63" s="368">
        <v>0</v>
      </c>
      <c r="F63" s="433">
        <v>0</v>
      </c>
      <c r="G63" s="432">
        <v>7926300</v>
      </c>
      <c r="H63" s="390">
        <v>0</v>
      </c>
      <c r="I63" s="372"/>
    </row>
    <row r="64" spans="1:9" x14ac:dyDescent="0.2">
      <c r="A64" s="434" t="s">
        <v>409</v>
      </c>
      <c r="B64" s="442"/>
      <c r="C64" s="375" t="s">
        <v>301</v>
      </c>
      <c r="D64" s="432">
        <v>0</v>
      </c>
      <c r="E64" s="368">
        <v>0</v>
      </c>
      <c r="F64" s="441">
        <v>0</v>
      </c>
      <c r="G64" s="432">
        <v>31721119</v>
      </c>
      <c r="H64" s="390">
        <v>0</v>
      </c>
      <c r="I64" s="372"/>
    </row>
    <row r="65" spans="1:9" x14ac:dyDescent="0.2">
      <c r="A65" s="434" t="s">
        <v>410</v>
      </c>
      <c r="B65" s="442"/>
      <c r="C65" s="375" t="s">
        <v>411</v>
      </c>
      <c r="D65" s="432">
        <v>0</v>
      </c>
      <c r="E65" s="368">
        <v>0</v>
      </c>
      <c r="F65" s="433">
        <v>0</v>
      </c>
      <c r="G65" s="432">
        <v>564590406</v>
      </c>
      <c r="H65" s="390">
        <v>0</v>
      </c>
      <c r="I65" s="372" t="s">
        <v>573</v>
      </c>
    </row>
    <row r="66" spans="1:9" x14ac:dyDescent="0.2">
      <c r="A66" s="430" t="s">
        <v>412</v>
      </c>
      <c r="B66" s="442"/>
      <c r="C66" s="375" t="s">
        <v>413</v>
      </c>
      <c r="D66" s="432">
        <v>0</v>
      </c>
      <c r="E66" s="368">
        <v>0</v>
      </c>
      <c r="F66" s="433">
        <v>0</v>
      </c>
      <c r="G66" s="432">
        <v>709000</v>
      </c>
      <c r="H66" s="390">
        <v>0</v>
      </c>
      <c r="I66" s="372"/>
    </row>
    <row r="67" spans="1:9" hidden="1" x14ac:dyDescent="0.2">
      <c r="A67" s="434" t="s">
        <v>414</v>
      </c>
      <c r="B67" s="442"/>
      <c r="C67" s="375" t="s">
        <v>415</v>
      </c>
      <c r="D67" s="432">
        <v>0</v>
      </c>
      <c r="E67" s="368">
        <v>0</v>
      </c>
      <c r="F67" s="433">
        <v>0</v>
      </c>
      <c r="G67" s="432">
        <v>0</v>
      </c>
      <c r="H67" s="390">
        <v>0</v>
      </c>
      <c r="I67" s="372"/>
    </row>
    <row r="68" spans="1:9" hidden="1" x14ac:dyDescent="0.2">
      <c r="A68" s="430" t="s">
        <v>416</v>
      </c>
      <c r="B68" s="442"/>
      <c r="C68" s="375" t="s">
        <v>417</v>
      </c>
      <c r="D68" s="432">
        <v>0</v>
      </c>
      <c r="E68" s="368">
        <v>0</v>
      </c>
      <c r="F68" s="433">
        <v>0</v>
      </c>
      <c r="G68" s="432">
        <v>0</v>
      </c>
      <c r="H68" s="390">
        <v>0</v>
      </c>
      <c r="I68" s="372"/>
    </row>
    <row r="69" spans="1:9" ht="15.75" thickBot="1" x14ac:dyDescent="0.3">
      <c r="A69" s="443" t="s">
        <v>127</v>
      </c>
      <c r="B69" s="444"/>
      <c r="C69" s="445"/>
      <c r="D69" s="446">
        <f>SUM(D60:D68)</f>
        <v>0</v>
      </c>
      <c r="E69" s="446">
        <f>SUM(E60:E68)</f>
        <v>0</v>
      </c>
      <c r="F69" s="447">
        <f>SUM(F60:F68)</f>
        <v>0</v>
      </c>
      <c r="G69" s="446">
        <f>SUM(G60:G68)</f>
        <v>1039946825</v>
      </c>
      <c r="H69" s="448">
        <f>SUM(H60:H68)</f>
        <v>0</v>
      </c>
      <c r="I69" s="372"/>
    </row>
    <row r="70" spans="1:9" ht="15" x14ac:dyDescent="0.25">
      <c r="A70" s="449" t="s">
        <v>418</v>
      </c>
      <c r="B70" s="450"/>
      <c r="C70" s="451" t="s">
        <v>419</v>
      </c>
      <c r="D70" s="432"/>
      <c r="E70" s="432"/>
      <c r="F70" s="433"/>
      <c r="G70" s="432"/>
      <c r="H70" s="390">
        <v>0</v>
      </c>
      <c r="I70" s="372"/>
    </row>
    <row r="71" spans="1:9" hidden="1" x14ac:dyDescent="0.2">
      <c r="A71" s="430"/>
      <c r="B71" s="431" t="s">
        <v>420</v>
      </c>
      <c r="C71" s="375"/>
      <c r="D71" s="432">
        <v>0</v>
      </c>
      <c r="E71" s="432">
        <v>0</v>
      </c>
      <c r="F71" s="433">
        <v>0</v>
      </c>
      <c r="G71" s="432">
        <v>0</v>
      </c>
      <c r="H71" s="390">
        <v>0</v>
      </c>
      <c r="I71" s="372"/>
    </row>
    <row r="72" spans="1:9" x14ac:dyDescent="0.2">
      <c r="A72" s="434"/>
      <c r="B72" s="431" t="s">
        <v>304</v>
      </c>
      <c r="C72" s="375"/>
      <c r="D72" s="432">
        <v>0</v>
      </c>
      <c r="E72" s="432">
        <v>0</v>
      </c>
      <c r="F72" s="433">
        <v>0</v>
      </c>
      <c r="G72" s="432">
        <v>1196394495.8900001</v>
      </c>
      <c r="H72" s="390">
        <v>0</v>
      </c>
      <c r="I72" s="372"/>
    </row>
    <row r="73" spans="1:9" ht="15.75" thickBot="1" x14ac:dyDescent="0.3">
      <c r="A73" s="452" t="s">
        <v>129</v>
      </c>
      <c r="B73" s="453"/>
      <c r="C73" s="454"/>
      <c r="D73" s="455">
        <f>SUM(D71:D72)</f>
        <v>0</v>
      </c>
      <c r="E73" s="455">
        <f>SUM(E71:E72)</f>
        <v>0</v>
      </c>
      <c r="F73" s="447">
        <f t="shared" ref="F73:G73" si="1">SUM(F71:F72)</f>
        <v>0</v>
      </c>
      <c r="G73" s="446">
        <f t="shared" si="1"/>
        <v>1196394495.8900001</v>
      </c>
      <c r="H73" s="448">
        <f>SUM(H71:H72)</f>
        <v>0</v>
      </c>
      <c r="I73" s="372"/>
    </row>
    <row r="74" spans="1:9" hidden="1" x14ac:dyDescent="0.2">
      <c r="A74" s="434"/>
      <c r="B74" s="431" t="s">
        <v>421</v>
      </c>
      <c r="C74" s="375"/>
      <c r="D74" s="432"/>
      <c r="E74" s="432"/>
      <c r="F74" s="456"/>
      <c r="G74" s="432"/>
      <c r="H74" s="390">
        <v>0</v>
      </c>
      <c r="I74" s="372"/>
    </row>
    <row r="75" spans="1:9" hidden="1" x14ac:dyDescent="0.2">
      <c r="A75" s="430"/>
      <c r="B75" s="431" t="s">
        <v>422</v>
      </c>
      <c r="C75" s="375"/>
      <c r="D75" s="432"/>
      <c r="E75" s="432"/>
      <c r="F75" s="433"/>
      <c r="G75" s="432"/>
      <c r="H75" s="390">
        <v>0</v>
      </c>
      <c r="I75" s="372"/>
    </row>
    <row r="76" spans="1:9" ht="15.75" thickBot="1" x14ac:dyDescent="0.3">
      <c r="A76" s="417" t="s">
        <v>423</v>
      </c>
      <c r="B76" s="457"/>
      <c r="C76" s="413"/>
      <c r="D76" s="414">
        <f>'PCFP - All Revenue AA-1 R-3'!D33+'PCFP - All Revenue AA-1 R-3'!D49+'PCFP - All Revenue AA-1 R-3'!D59+'PCFP - All Revenue AA-1 R-3'!D73+'PCFP - All Revenue AA-1 R-3'!D69</f>
        <v>0</v>
      </c>
      <c r="E76" s="414">
        <f>'PCFP - All Revenue AA-1 R-3'!E33+'PCFP - All Revenue AA-1 R-3'!E49+'PCFP - All Revenue AA-1 R-3'!E59+'PCFP - All Revenue AA-1 R-3'!E73+'PCFP - All Revenue AA-1 R-3'!E69</f>
        <v>0</v>
      </c>
      <c r="F76" s="415">
        <f>'PCFP - All Revenue AA-1 R-3'!F33+'PCFP - All Revenue AA-1 R-3'!F49+'PCFP - All Revenue AA-1 R-3'!F59+'PCFP - All Revenue AA-1 R-3'!F73+'PCFP - All Revenue AA-1 R-3'!F69</f>
        <v>0</v>
      </c>
      <c r="G76" s="414">
        <f>'PCFP - All Revenue AA-1 R-3'!G33+'PCFP - All Revenue AA-1 R-3'!G49+'PCFP - All Revenue AA-1 R-3'!G59+'PCFP - All Revenue AA-1 R-3'!G73+'PCFP - All Revenue AA-1 R-3'!G69</f>
        <v>6114229050.8900003</v>
      </c>
      <c r="H76" s="458">
        <f>'PCFP - All Revenue AA-1 R-3'!H33+'PCFP - All Revenue AA-1 R-3'!H49+'PCFP - All Revenue AA-1 R-3'!H59+'PCFP - All Revenue AA-1 R-3'!H73+'PCFP - All Revenue AA-1 R-3'!H69</f>
        <v>0</v>
      </c>
      <c r="I76" s="372"/>
    </row>
    <row r="77" spans="1:9" ht="15.75" thickTop="1" x14ac:dyDescent="0.25">
      <c r="A77" s="417"/>
      <c r="B77" s="431"/>
      <c r="C77" s="459"/>
      <c r="D77" s="459"/>
      <c r="E77" s="459"/>
      <c r="F77" s="459"/>
      <c r="G77" s="460"/>
      <c r="H77" s="461"/>
      <c r="I77" s="372"/>
    </row>
    <row r="78" spans="1:9" ht="15" x14ac:dyDescent="0.25">
      <c r="A78" s="417" t="s">
        <v>574</v>
      </c>
      <c r="B78" s="462"/>
      <c r="C78" s="380"/>
      <c r="D78" s="370"/>
      <c r="E78" s="370"/>
      <c r="F78" s="369"/>
      <c r="G78" s="370"/>
      <c r="H78" s="371"/>
      <c r="I78" s="372"/>
    </row>
    <row r="79" spans="1:9" ht="15" x14ac:dyDescent="0.25">
      <c r="A79" s="463"/>
      <c r="B79" s="464" t="s">
        <v>10</v>
      </c>
      <c r="C79" s="465" t="s">
        <v>424</v>
      </c>
      <c r="D79" s="432"/>
      <c r="E79" s="441"/>
      <c r="F79" s="433"/>
      <c r="G79" s="432">
        <v>359636566</v>
      </c>
      <c r="H79" s="390">
        <v>0</v>
      </c>
      <c r="I79" s="372"/>
    </row>
    <row r="80" spans="1:9" ht="15" x14ac:dyDescent="0.25">
      <c r="A80" s="463"/>
      <c r="B80" s="466" t="s">
        <v>10</v>
      </c>
      <c r="C80" s="465" t="s">
        <v>425</v>
      </c>
      <c r="D80" s="432"/>
      <c r="E80" s="368"/>
      <c r="F80" s="433"/>
      <c r="G80" s="432"/>
      <c r="H80" s="390">
        <v>0</v>
      </c>
      <c r="I80" s="372"/>
    </row>
    <row r="81" spans="1:9" ht="15" x14ac:dyDescent="0.25">
      <c r="A81" s="463"/>
      <c r="B81" s="466" t="s">
        <v>10</v>
      </c>
      <c r="C81" s="465" t="s">
        <v>426</v>
      </c>
      <c r="D81" s="432"/>
      <c r="E81" s="368"/>
      <c r="F81" s="433"/>
      <c r="G81" s="432"/>
      <c r="H81" s="390">
        <v>0</v>
      </c>
      <c r="I81" s="372"/>
    </row>
    <row r="82" spans="1:9" ht="15.75" thickBot="1" x14ac:dyDescent="0.3">
      <c r="A82" s="467"/>
      <c r="B82" s="468" t="s">
        <v>10</v>
      </c>
      <c r="C82" s="469" t="s">
        <v>427</v>
      </c>
      <c r="D82" s="446"/>
      <c r="E82" s="455"/>
      <c r="F82" s="447"/>
      <c r="G82" s="446"/>
      <c r="H82" s="470">
        <v>0</v>
      </c>
      <c r="I82" s="372"/>
    </row>
    <row r="83" spans="1:9" ht="15" x14ac:dyDescent="0.25">
      <c r="A83" s="471"/>
      <c r="B83" s="472"/>
      <c r="C83" s="473"/>
      <c r="D83" s="474">
        <f>SUM(D79:D82)</f>
        <v>0</v>
      </c>
      <c r="E83" s="474">
        <f t="shared" ref="E83:F83" si="2">SUM(E79:E82)</f>
        <v>0</v>
      </c>
      <c r="F83" s="474">
        <f t="shared" si="2"/>
        <v>0</v>
      </c>
      <c r="G83" s="474">
        <f>SUM(G78:G82)</f>
        <v>359636566</v>
      </c>
      <c r="H83" s="474">
        <f>SUM(H79:H82)</f>
        <v>0</v>
      </c>
    </row>
    <row r="84" spans="1:9" x14ac:dyDescent="0.2">
      <c r="A84" s="475"/>
      <c r="B84" s="475"/>
      <c r="C84" s="476"/>
      <c r="D84" s="476"/>
      <c r="E84" s="476"/>
      <c r="F84" s="476"/>
      <c r="G84" s="476"/>
      <c r="H84" s="476"/>
    </row>
    <row r="85" spans="1:9" x14ac:dyDescent="0.2">
      <c r="A85" s="374"/>
      <c r="B85" s="374"/>
      <c r="C85" s="477" t="str">
        <f>C1</f>
        <v>Clark County School District (CCSD)</v>
      </c>
      <c r="D85" s="476" t="s">
        <v>428</v>
      </c>
      <c r="E85" s="476"/>
      <c r="F85" s="476"/>
      <c r="G85" s="478" t="str">
        <f>"Budget Fiscal Year "&amp;TEXT('[3]Form 1'!$C$136, "mm/dd/yy")</f>
        <v>Budget Fiscal Year 2019-2020</v>
      </c>
      <c r="H85" s="476"/>
    </row>
    <row r="86" spans="1:9" x14ac:dyDescent="0.2">
      <c r="A86" s="378"/>
      <c r="B86" s="378"/>
      <c r="C86" s="479" t="s">
        <v>429</v>
      </c>
      <c r="D86" s="475" t="s">
        <v>430</v>
      </c>
      <c r="E86" s="476"/>
      <c r="F86" s="480"/>
      <c r="G86" s="478" t="s">
        <v>431</v>
      </c>
      <c r="H86" s="476"/>
    </row>
    <row r="87" spans="1:9" x14ac:dyDescent="0.2">
      <c r="A87" s="475"/>
      <c r="B87" s="475"/>
      <c r="C87" s="476"/>
      <c r="D87" s="476"/>
      <c r="E87" s="476"/>
      <c r="F87" s="481"/>
      <c r="G87" s="482"/>
      <c r="H87" s="483"/>
    </row>
    <row r="88" spans="1:9" x14ac:dyDescent="0.2">
      <c r="A88" s="475"/>
      <c r="B88" s="475"/>
      <c r="C88" s="476"/>
      <c r="D88" s="476"/>
      <c r="E88" s="476"/>
      <c r="H88" s="478"/>
    </row>
    <row r="89" spans="1:9" x14ac:dyDescent="0.2">
      <c r="A89" s="475"/>
      <c r="B89" s="475"/>
      <c r="C89" s="476"/>
      <c r="D89" s="476"/>
      <c r="E89" s="476"/>
      <c r="H89" s="478"/>
    </row>
  </sheetData>
  <pageMargins left="0.2" right="0.2" top="0.25" bottom="0.25" header="0.05" footer="0.05"/>
  <pageSetup paperSize="5" scale="50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14FB-253D-4D64-BFBD-966FA49C9B02}">
  <sheetPr>
    <tabColor rgb="FFFFFF00"/>
    <pageSetUpPr fitToPage="1"/>
  </sheetPr>
  <dimension ref="A1:L151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99" sqref="K99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4.28515625" style="277" bestFit="1" customWidth="1"/>
    <col min="5" max="5" width="16.7109375" style="277" bestFit="1" customWidth="1"/>
    <col min="6" max="6" width="1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31.710937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575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766050243</v>
      </c>
      <c r="D3" s="89">
        <v>321311106</v>
      </c>
      <c r="E3" s="89">
        <v>109395064.92</v>
      </c>
      <c r="F3" s="89">
        <v>0</v>
      </c>
      <c r="G3" s="89">
        <v>0</v>
      </c>
      <c r="H3" s="89">
        <v>0</v>
      </c>
      <c r="I3" s="214">
        <v>0</v>
      </c>
      <c r="J3" s="89">
        <f>SUM(C3:I3)</f>
        <v>1196756413.9200001</v>
      </c>
      <c r="K3" s="92"/>
    </row>
    <row r="4" spans="1:11" x14ac:dyDescent="0.2">
      <c r="A4" s="116">
        <v>200</v>
      </c>
      <c r="B4" s="95" t="s">
        <v>135</v>
      </c>
      <c r="C4" s="89">
        <v>1937817</v>
      </c>
      <c r="D4" s="89">
        <v>839919</v>
      </c>
      <c r="E4" s="89">
        <v>263505</v>
      </c>
      <c r="F4" s="89">
        <v>0</v>
      </c>
      <c r="G4" s="89">
        <v>0</v>
      </c>
      <c r="H4" s="89">
        <v>0</v>
      </c>
      <c r="I4" s="214">
        <v>0</v>
      </c>
      <c r="J4" s="89">
        <f t="shared" ref="J4:J67" si="0">SUM(C4:I4)</f>
        <v>3041241</v>
      </c>
      <c r="K4" s="92"/>
    </row>
    <row r="5" spans="1:11" x14ac:dyDescent="0.2">
      <c r="A5" s="210" t="s">
        <v>10</v>
      </c>
      <c r="B5" s="211" t="s">
        <v>136</v>
      </c>
      <c r="C5" s="89">
        <v>317784958.63</v>
      </c>
      <c r="D5" s="89">
        <v>151534396.56</v>
      </c>
      <c r="E5" s="89">
        <v>26997211</v>
      </c>
      <c r="F5" s="89">
        <v>0</v>
      </c>
      <c r="G5" s="89">
        <v>0</v>
      </c>
      <c r="H5" s="89">
        <v>0</v>
      </c>
      <c r="I5" s="214">
        <v>0</v>
      </c>
      <c r="J5" s="89">
        <f t="shared" si="0"/>
        <v>496316566.19</v>
      </c>
      <c r="K5" s="212"/>
    </row>
    <row r="6" spans="1:11" hidden="1" x14ac:dyDescent="0.2">
      <c r="A6" s="116">
        <v>270</v>
      </c>
      <c r="B6" s="95" t="s">
        <v>137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214">
        <v>0</v>
      </c>
      <c r="J6" s="89">
        <f t="shared" si="0"/>
        <v>0</v>
      </c>
      <c r="K6" s="92"/>
    </row>
    <row r="7" spans="1:11" x14ac:dyDescent="0.2">
      <c r="A7" s="210" t="s">
        <v>10</v>
      </c>
      <c r="B7" s="211" t="s">
        <v>138</v>
      </c>
      <c r="C7" s="89">
        <v>6597931</v>
      </c>
      <c r="D7" s="89">
        <v>2745907</v>
      </c>
      <c r="E7" s="89">
        <v>0</v>
      </c>
      <c r="F7" s="89">
        <v>0</v>
      </c>
      <c r="G7" s="89">
        <v>0</v>
      </c>
      <c r="H7" s="89">
        <v>0</v>
      </c>
      <c r="I7" s="214">
        <v>0</v>
      </c>
      <c r="J7" s="89">
        <f t="shared" si="0"/>
        <v>9343838</v>
      </c>
      <c r="K7" s="212"/>
    </row>
    <row r="8" spans="1:11" x14ac:dyDescent="0.2">
      <c r="A8" s="116">
        <v>300</v>
      </c>
      <c r="B8" s="95" t="s">
        <v>139</v>
      </c>
      <c r="C8" s="89">
        <v>2352824</v>
      </c>
      <c r="D8" s="89">
        <v>973045</v>
      </c>
      <c r="E8" s="89">
        <v>3814069.3200000003</v>
      </c>
      <c r="F8" s="89">
        <v>0</v>
      </c>
      <c r="G8" s="89">
        <v>0</v>
      </c>
      <c r="H8" s="89">
        <v>0</v>
      </c>
      <c r="I8" s="214">
        <v>0</v>
      </c>
      <c r="J8" s="89">
        <f t="shared" si="0"/>
        <v>7139938.3200000003</v>
      </c>
      <c r="K8" s="92"/>
    </row>
    <row r="9" spans="1:11" x14ac:dyDescent="0.2">
      <c r="A9" s="116">
        <v>400</v>
      </c>
      <c r="B9" s="95" t="s">
        <v>140</v>
      </c>
      <c r="C9" s="89">
        <v>16096251</v>
      </c>
      <c r="D9" s="89">
        <v>6499312</v>
      </c>
      <c r="E9" s="89">
        <v>2137197</v>
      </c>
      <c r="F9" s="89">
        <v>0</v>
      </c>
      <c r="G9" s="89">
        <v>0</v>
      </c>
      <c r="H9" s="89">
        <v>0</v>
      </c>
      <c r="I9" s="214">
        <v>0</v>
      </c>
      <c r="J9" s="89">
        <f t="shared" si="0"/>
        <v>24732760</v>
      </c>
      <c r="K9" s="92"/>
    </row>
    <row r="10" spans="1:11" x14ac:dyDescent="0.2">
      <c r="A10" s="210" t="s">
        <v>10</v>
      </c>
      <c r="B10" s="211" t="s">
        <v>141</v>
      </c>
      <c r="C10" s="89">
        <v>4548776</v>
      </c>
      <c r="D10" s="89">
        <v>1851735</v>
      </c>
      <c r="E10" s="89">
        <v>1988836</v>
      </c>
      <c r="F10" s="89">
        <v>0</v>
      </c>
      <c r="G10" s="89">
        <v>0</v>
      </c>
      <c r="H10" s="89">
        <v>0</v>
      </c>
      <c r="I10" s="214">
        <v>0</v>
      </c>
      <c r="J10" s="89">
        <f t="shared" si="0"/>
        <v>8389347</v>
      </c>
      <c r="K10" s="212"/>
    </row>
    <row r="11" spans="1:11" hidden="1" x14ac:dyDescent="0.2">
      <c r="A11" s="210" t="s">
        <v>10</v>
      </c>
      <c r="B11" s="211" t="s">
        <v>142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214">
        <v>0</v>
      </c>
      <c r="J11" s="89">
        <f t="shared" si="0"/>
        <v>0</v>
      </c>
      <c r="K11" s="212"/>
    </row>
    <row r="12" spans="1:11" x14ac:dyDescent="0.2">
      <c r="A12" s="116">
        <v>440</v>
      </c>
      <c r="B12" s="95" t="s">
        <v>143</v>
      </c>
      <c r="C12" s="89">
        <v>1705284</v>
      </c>
      <c r="D12" s="89">
        <v>43905</v>
      </c>
      <c r="E12" s="89">
        <v>180500</v>
      </c>
      <c r="F12" s="89">
        <v>0</v>
      </c>
      <c r="G12" s="89">
        <v>0</v>
      </c>
      <c r="H12" s="89">
        <v>0</v>
      </c>
      <c r="I12" s="214">
        <v>0</v>
      </c>
      <c r="J12" s="89">
        <f t="shared" si="0"/>
        <v>1929689</v>
      </c>
      <c r="K12" s="92"/>
    </row>
    <row r="13" spans="1:11" hidden="1" x14ac:dyDescent="0.2">
      <c r="A13" s="116">
        <v>500</v>
      </c>
      <c r="B13" s="95" t="s">
        <v>144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214">
        <v>0</v>
      </c>
      <c r="J13" s="89">
        <f t="shared" si="0"/>
        <v>0</v>
      </c>
      <c r="K13" s="92"/>
    </row>
    <row r="14" spans="1:11" x14ac:dyDescent="0.2">
      <c r="A14" s="116">
        <v>600</v>
      </c>
      <c r="B14" s="95" t="s">
        <v>145</v>
      </c>
      <c r="C14" s="89">
        <v>123685</v>
      </c>
      <c r="D14" s="89">
        <v>40201</v>
      </c>
      <c r="E14" s="89">
        <v>75000</v>
      </c>
      <c r="F14" s="89">
        <v>0</v>
      </c>
      <c r="G14" s="89">
        <v>0</v>
      </c>
      <c r="H14" s="89">
        <v>0</v>
      </c>
      <c r="I14" s="214">
        <v>0</v>
      </c>
      <c r="J14" s="89">
        <f t="shared" si="0"/>
        <v>238886</v>
      </c>
      <c r="K14" s="92"/>
    </row>
    <row r="15" spans="1:11" hidden="1" x14ac:dyDescent="0.2">
      <c r="A15" s="116">
        <v>800</v>
      </c>
      <c r="B15" s="95" t="s">
        <v>146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214">
        <v>0</v>
      </c>
      <c r="J15" s="89">
        <f t="shared" si="0"/>
        <v>0</v>
      </c>
      <c r="K15" s="92"/>
    </row>
    <row r="16" spans="1:11" x14ac:dyDescent="0.2">
      <c r="A16" s="116">
        <v>910</v>
      </c>
      <c r="B16" s="95" t="s">
        <v>147</v>
      </c>
      <c r="C16" s="89">
        <v>4898290</v>
      </c>
      <c r="D16" s="89">
        <v>1917446</v>
      </c>
      <c r="E16" s="89">
        <v>3519167</v>
      </c>
      <c r="F16" s="89">
        <v>0</v>
      </c>
      <c r="G16" s="89">
        <v>0</v>
      </c>
      <c r="H16" s="89">
        <v>0</v>
      </c>
      <c r="I16" s="214">
        <v>0</v>
      </c>
      <c r="J16" s="89">
        <f t="shared" si="0"/>
        <v>10334903</v>
      </c>
      <c r="K16" s="92"/>
    </row>
    <row r="17" spans="1:11" x14ac:dyDescent="0.2">
      <c r="A17" s="116">
        <v>920</v>
      </c>
      <c r="B17" s="95" t="s">
        <v>148</v>
      </c>
      <c r="C17" s="89">
        <v>1481595</v>
      </c>
      <c r="D17" s="89">
        <v>239473</v>
      </c>
      <c r="E17" s="89">
        <v>5737742</v>
      </c>
      <c r="F17" s="89">
        <v>0</v>
      </c>
      <c r="G17" s="89">
        <v>0</v>
      </c>
      <c r="H17" s="89">
        <v>0</v>
      </c>
      <c r="I17" s="214">
        <v>0</v>
      </c>
      <c r="J17" s="89">
        <f t="shared" si="0"/>
        <v>7458810</v>
      </c>
      <c r="K17" s="92"/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214"/>
      <c r="J19" s="89"/>
      <c r="K19" s="92"/>
    </row>
    <row r="20" spans="1:11" ht="15" hidden="1" x14ac:dyDescent="0.25">
      <c r="A20" s="215" t="s">
        <v>443</v>
      </c>
      <c r="B20" s="216" t="s">
        <v>444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0</v>
      </c>
      <c r="K20" s="92"/>
    </row>
    <row r="21" spans="1:11" x14ac:dyDescent="0.2">
      <c r="A21" s="116">
        <v>2100</v>
      </c>
      <c r="B21" s="95" t="s">
        <v>151</v>
      </c>
      <c r="C21" s="89">
        <v>55802560</v>
      </c>
      <c r="D21" s="89">
        <v>25872068</v>
      </c>
      <c r="E21" s="89">
        <v>2797351</v>
      </c>
      <c r="F21" s="89">
        <v>0</v>
      </c>
      <c r="G21" s="89">
        <v>0</v>
      </c>
      <c r="H21" s="89">
        <v>0</v>
      </c>
      <c r="I21" s="214">
        <v>0</v>
      </c>
      <c r="J21" s="89">
        <f t="shared" si="0"/>
        <v>84471979</v>
      </c>
      <c r="K21" s="92"/>
    </row>
    <row r="22" spans="1:11" x14ac:dyDescent="0.2">
      <c r="A22" s="116">
        <v>2200</v>
      </c>
      <c r="B22" s="95" t="s">
        <v>152</v>
      </c>
      <c r="C22" s="89">
        <v>27965742</v>
      </c>
      <c r="D22" s="89">
        <v>11408940</v>
      </c>
      <c r="E22" s="89">
        <v>13656765</v>
      </c>
      <c r="F22" s="89">
        <v>0</v>
      </c>
      <c r="G22" s="89">
        <v>0</v>
      </c>
      <c r="H22" s="89">
        <v>0</v>
      </c>
      <c r="I22" s="214">
        <v>0</v>
      </c>
      <c r="J22" s="89">
        <f t="shared" si="0"/>
        <v>53031447</v>
      </c>
      <c r="K22" s="92"/>
    </row>
    <row r="23" spans="1:11" x14ac:dyDescent="0.2">
      <c r="A23" s="116">
        <v>2300</v>
      </c>
      <c r="B23" s="95" t="s">
        <v>153</v>
      </c>
      <c r="C23" s="89">
        <v>9600914</v>
      </c>
      <c r="D23" s="89">
        <v>3856274</v>
      </c>
      <c r="E23" s="89">
        <v>22680991</v>
      </c>
      <c r="F23" s="89">
        <v>0</v>
      </c>
      <c r="G23" s="89">
        <v>0</v>
      </c>
      <c r="H23" s="89">
        <v>0</v>
      </c>
      <c r="I23" s="214">
        <v>0</v>
      </c>
      <c r="J23" s="89">
        <f t="shared" si="0"/>
        <v>36138179</v>
      </c>
      <c r="K23" s="92"/>
    </row>
    <row r="24" spans="1:11" x14ac:dyDescent="0.2">
      <c r="A24" s="116">
        <v>2400</v>
      </c>
      <c r="B24" s="95" t="s">
        <v>154</v>
      </c>
      <c r="C24" s="89">
        <v>151922319</v>
      </c>
      <c r="D24" s="89">
        <v>66130256</v>
      </c>
      <c r="E24" s="89">
        <v>1275113</v>
      </c>
      <c r="F24" s="89">
        <v>0</v>
      </c>
      <c r="G24" s="89">
        <v>0</v>
      </c>
      <c r="H24" s="89">
        <v>0</v>
      </c>
      <c r="I24" s="214">
        <v>0</v>
      </c>
      <c r="J24" s="89">
        <f t="shared" si="0"/>
        <v>219327688</v>
      </c>
      <c r="K24" s="92"/>
    </row>
    <row r="25" spans="1:11" x14ac:dyDescent="0.2">
      <c r="A25" s="116">
        <v>2500</v>
      </c>
      <c r="B25" s="95" t="s">
        <v>155</v>
      </c>
      <c r="C25" s="89">
        <v>23361662</v>
      </c>
      <c r="D25" s="89">
        <v>10836552</v>
      </c>
      <c r="E25" s="89">
        <v>16324023</v>
      </c>
      <c r="F25" s="89">
        <v>0</v>
      </c>
      <c r="G25" s="89">
        <v>0</v>
      </c>
      <c r="H25" s="89">
        <v>0</v>
      </c>
      <c r="I25" s="214">
        <v>0</v>
      </c>
      <c r="J25" s="89">
        <f t="shared" si="0"/>
        <v>50522237</v>
      </c>
      <c r="K25" s="92"/>
    </row>
    <row r="26" spans="1:11" x14ac:dyDescent="0.2">
      <c r="A26" s="116">
        <v>2600</v>
      </c>
      <c r="B26" s="95" t="s">
        <v>156</v>
      </c>
      <c r="C26" s="89">
        <v>125022741</v>
      </c>
      <c r="D26" s="89">
        <v>61679694.159999996</v>
      </c>
      <c r="E26" s="89">
        <v>69133390.120000005</v>
      </c>
      <c r="F26" s="89">
        <v>0</v>
      </c>
      <c r="G26" s="89">
        <v>0</v>
      </c>
      <c r="H26" s="89">
        <v>0</v>
      </c>
      <c r="I26" s="214">
        <v>0</v>
      </c>
      <c r="J26" s="89">
        <f t="shared" si="0"/>
        <v>255835825.28</v>
      </c>
      <c r="K26" s="92"/>
    </row>
    <row r="27" spans="1:11" x14ac:dyDescent="0.2">
      <c r="A27" s="217">
        <v>2700</v>
      </c>
      <c r="B27" s="211" t="s">
        <v>157</v>
      </c>
      <c r="C27" s="89">
        <v>31125882</v>
      </c>
      <c r="D27" s="89">
        <v>17666295</v>
      </c>
      <c r="E27" s="89">
        <v>42315338</v>
      </c>
      <c r="F27" s="89">
        <v>0</v>
      </c>
      <c r="G27" s="89">
        <v>0</v>
      </c>
      <c r="H27" s="89">
        <v>0</v>
      </c>
      <c r="I27" s="214">
        <v>0</v>
      </c>
      <c r="J27" s="89">
        <f t="shared" si="0"/>
        <v>91107515</v>
      </c>
      <c r="K27" s="212"/>
    </row>
    <row r="28" spans="1:11" hidden="1" x14ac:dyDescent="0.2">
      <c r="A28" s="116">
        <v>2900</v>
      </c>
      <c r="B28" s="95" t="s">
        <v>158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214">
        <v>0</v>
      </c>
      <c r="J28" s="89">
        <f t="shared" si="0"/>
        <v>0</v>
      </c>
      <c r="K28" s="92"/>
    </row>
    <row r="29" spans="1:11" s="204" customFormat="1" ht="15" hidden="1" x14ac:dyDescent="0.25">
      <c r="A29" s="218">
        <v>3000</v>
      </c>
      <c r="B29" s="216" t="s">
        <v>159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214">
        <v>0</v>
      </c>
      <c r="J29" s="89">
        <f t="shared" si="0"/>
        <v>0</v>
      </c>
      <c r="K29" s="219"/>
    </row>
    <row r="30" spans="1:11" hidden="1" x14ac:dyDescent="0.2">
      <c r="A30" s="217">
        <v>3100</v>
      </c>
      <c r="B30" s="211" t="s">
        <v>160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214">
        <v>0</v>
      </c>
      <c r="J30" s="89">
        <f t="shared" si="0"/>
        <v>0</v>
      </c>
      <c r="K30" s="212"/>
    </row>
    <row r="31" spans="1:11" hidden="1" x14ac:dyDescent="0.2">
      <c r="A31" s="116">
        <v>3200</v>
      </c>
      <c r="B31" s="95" t="s">
        <v>161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214">
        <v>0</v>
      </c>
      <c r="J31" s="89">
        <f t="shared" si="0"/>
        <v>0</v>
      </c>
      <c r="K31" s="92"/>
    </row>
    <row r="32" spans="1:11" hidden="1" x14ac:dyDescent="0.2">
      <c r="A32" s="116">
        <v>3300</v>
      </c>
      <c r="B32" s="95" t="s">
        <v>162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214">
        <v>0</v>
      </c>
      <c r="J32" s="89">
        <f t="shared" si="0"/>
        <v>0</v>
      </c>
      <c r="K32" s="92"/>
    </row>
    <row r="33" spans="1:11" s="223" customFormat="1" hidden="1" x14ac:dyDescent="0.2">
      <c r="A33" s="220">
        <v>4100</v>
      </c>
      <c r="B33" s="221" t="s">
        <v>163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214">
        <v>0</v>
      </c>
      <c r="J33" s="89">
        <f t="shared" si="0"/>
        <v>0</v>
      </c>
      <c r="K33" s="222"/>
    </row>
    <row r="34" spans="1:11" s="225" customFormat="1" ht="15" hidden="1" x14ac:dyDescent="0.25">
      <c r="A34" s="220">
        <v>4000</v>
      </c>
      <c r="B34" s="221" t="s">
        <v>164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214">
        <v>0</v>
      </c>
      <c r="J34" s="89">
        <f t="shared" si="0"/>
        <v>0</v>
      </c>
      <c r="K34" s="224"/>
    </row>
    <row r="35" spans="1:11" s="223" customFormat="1" hidden="1" x14ac:dyDescent="0.2">
      <c r="A35" s="220">
        <v>4200</v>
      </c>
      <c r="B35" s="221" t="s">
        <v>165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214">
        <v>0</v>
      </c>
      <c r="J35" s="89">
        <f t="shared" si="0"/>
        <v>0</v>
      </c>
      <c r="K35" s="222"/>
    </row>
    <row r="36" spans="1:11" s="223" customFormat="1" hidden="1" x14ac:dyDescent="0.2">
      <c r="A36" s="220">
        <v>4300</v>
      </c>
      <c r="B36" s="221" t="s">
        <v>166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214">
        <v>0</v>
      </c>
      <c r="J36" s="89">
        <f t="shared" si="0"/>
        <v>0</v>
      </c>
      <c r="K36" s="222"/>
    </row>
    <row r="37" spans="1:11" s="223" customFormat="1" ht="28.5" hidden="1" x14ac:dyDescent="0.2">
      <c r="A37" s="220">
        <v>4400</v>
      </c>
      <c r="B37" s="221" t="s">
        <v>167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214">
        <v>0</v>
      </c>
      <c r="J37" s="89">
        <f t="shared" si="0"/>
        <v>0</v>
      </c>
      <c r="K37" s="222"/>
    </row>
    <row r="38" spans="1:11" s="223" customFormat="1" hidden="1" x14ac:dyDescent="0.2">
      <c r="A38" s="220">
        <v>4500</v>
      </c>
      <c r="B38" s="221" t="s">
        <v>168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214">
        <v>0</v>
      </c>
      <c r="J38" s="89">
        <f t="shared" si="0"/>
        <v>0</v>
      </c>
      <c r="K38" s="222"/>
    </row>
    <row r="39" spans="1:11" s="223" customFormat="1" hidden="1" x14ac:dyDescent="0.2">
      <c r="A39" s="220">
        <v>4600</v>
      </c>
      <c r="B39" s="221" t="s">
        <v>169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214">
        <v>0</v>
      </c>
      <c r="J39" s="89">
        <f t="shared" si="0"/>
        <v>0</v>
      </c>
      <c r="K39" s="222"/>
    </row>
    <row r="40" spans="1:11" s="223" customFormat="1" hidden="1" x14ac:dyDescent="0.2">
      <c r="A40" s="220">
        <v>4700</v>
      </c>
      <c r="B40" s="221" t="s">
        <v>170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214">
        <v>0</v>
      </c>
      <c r="J40" s="89">
        <f t="shared" si="0"/>
        <v>0</v>
      </c>
      <c r="K40" s="222"/>
    </row>
    <row r="41" spans="1:11" s="223" customFormat="1" hidden="1" x14ac:dyDescent="0.2">
      <c r="A41" s="220">
        <v>4900</v>
      </c>
      <c r="B41" s="221" t="s">
        <v>171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214">
        <v>0</v>
      </c>
      <c r="J41" s="89">
        <f t="shared" si="0"/>
        <v>0</v>
      </c>
      <c r="K41" s="222"/>
    </row>
    <row r="42" spans="1:11" hidden="1" x14ac:dyDescent="0.2">
      <c r="A42" s="220">
        <v>5000</v>
      </c>
      <c r="B42" s="226" t="s">
        <v>172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214">
        <v>0</v>
      </c>
      <c r="J42" s="89">
        <f t="shared" si="0"/>
        <v>0</v>
      </c>
      <c r="K42" s="92"/>
    </row>
    <row r="43" spans="1:11" hidden="1" x14ac:dyDescent="0.2">
      <c r="A43" s="220">
        <v>5000</v>
      </c>
      <c r="B43" s="226" t="s">
        <v>173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214">
        <v>0</v>
      </c>
      <c r="J43" s="89">
        <f t="shared" si="0"/>
        <v>0</v>
      </c>
      <c r="K43" s="92"/>
    </row>
    <row r="44" spans="1:11" hidden="1" x14ac:dyDescent="0.2">
      <c r="A44" s="220">
        <v>6100</v>
      </c>
      <c r="B44" s="226" t="s">
        <v>174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214">
        <v>0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89">
        <v>0</v>
      </c>
      <c r="D45" s="89">
        <v>0</v>
      </c>
      <c r="E45" s="89">
        <v>0</v>
      </c>
      <c r="F45" s="89">
        <v>359636566</v>
      </c>
      <c r="G45" s="89">
        <v>0</v>
      </c>
      <c r="H45" s="89">
        <v>0</v>
      </c>
      <c r="I45" s="214">
        <v>0</v>
      </c>
      <c r="J45" s="89">
        <f t="shared" si="0"/>
        <v>359636566</v>
      </c>
      <c r="K45" s="92" t="s">
        <v>576</v>
      </c>
    </row>
    <row r="46" spans="1:11" hidden="1" x14ac:dyDescent="0.2">
      <c r="A46" s="116">
        <v>6300</v>
      </c>
      <c r="B46" s="95" t="s">
        <v>176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214">
        <v>0</v>
      </c>
      <c r="J46" s="89">
        <f t="shared" si="0"/>
        <v>0</v>
      </c>
      <c r="K46" s="92"/>
    </row>
    <row r="47" spans="1:11" ht="15" thickBot="1" x14ac:dyDescent="0.25">
      <c r="A47" s="116">
        <v>8000</v>
      </c>
      <c r="B47" s="227" t="s">
        <v>177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95066000</v>
      </c>
      <c r="I47" s="214">
        <v>0</v>
      </c>
      <c r="J47" s="89">
        <f t="shared" si="0"/>
        <v>95066000</v>
      </c>
      <c r="K47" s="92"/>
    </row>
    <row r="48" spans="1:11" ht="15" hidden="1" thickBot="1" x14ac:dyDescent="0.25">
      <c r="A48" s="116"/>
      <c r="B48" s="227" t="s">
        <v>445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214">
        <v>0</v>
      </c>
      <c r="J48" s="89">
        <f t="shared" si="0"/>
        <v>0</v>
      </c>
      <c r="K48" s="92"/>
    </row>
    <row r="49" spans="1:11" ht="15" hidden="1" thickBot="1" x14ac:dyDescent="0.25">
      <c r="A49" s="229"/>
      <c r="B49" s="100" t="s">
        <v>446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214">
        <v>0</v>
      </c>
      <c r="J49" s="89">
        <f t="shared" si="0"/>
        <v>0</v>
      </c>
      <c r="K49" s="92"/>
    </row>
    <row r="50" spans="1:11" ht="15" hidden="1" thickBot="1" x14ac:dyDescent="0.25">
      <c r="A50" s="230"/>
      <c r="B50" s="231" t="s">
        <v>255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316">
        <v>0</v>
      </c>
      <c r="J50" s="232">
        <f t="shared" si="0"/>
        <v>0</v>
      </c>
      <c r="K50" s="233"/>
    </row>
    <row r="51" spans="1:11" ht="15.75" thickBot="1" x14ac:dyDescent="0.3">
      <c r="A51" s="234"/>
      <c r="B51" s="235" t="s">
        <v>577</v>
      </c>
      <c r="C51" s="236">
        <f>SUM(C2:C50)</f>
        <v>1548379474.6300001</v>
      </c>
      <c r="D51" s="236">
        <f>SUM(D2:D50)</f>
        <v>685446524.71999991</v>
      </c>
      <c r="E51" s="236">
        <f>SUM(E2:E50)</f>
        <v>322291263.36000001</v>
      </c>
      <c r="F51" s="236">
        <f t="shared" ref="F51:I51" si="1">SUM(F2:F50)</f>
        <v>359636566</v>
      </c>
      <c r="G51" s="236">
        <f t="shared" si="1"/>
        <v>0</v>
      </c>
      <c r="H51" s="236">
        <f t="shared" si="1"/>
        <v>95066000</v>
      </c>
      <c r="I51" s="237">
        <f t="shared" si="1"/>
        <v>0</v>
      </c>
      <c r="J51" s="236">
        <f t="shared" si="0"/>
        <v>3010819828.71</v>
      </c>
      <c r="K51" s="239"/>
    </row>
    <row r="52" spans="1:11" ht="15" x14ac:dyDescent="0.25">
      <c r="A52" s="218" t="s">
        <v>448</v>
      </c>
      <c r="B52" s="95"/>
      <c r="C52" s="240">
        <v>0</v>
      </c>
      <c r="D52" s="240">
        <v>0</v>
      </c>
      <c r="E52" s="240">
        <v>397320147.88999999</v>
      </c>
      <c r="F52" s="240">
        <v>0</v>
      </c>
      <c r="G52" s="240">
        <v>0</v>
      </c>
      <c r="H52" s="240">
        <v>229785766.11000001</v>
      </c>
      <c r="I52" s="241">
        <v>0</v>
      </c>
      <c r="J52" s="144">
        <f t="shared" si="0"/>
        <v>627105914</v>
      </c>
      <c r="K52" s="112"/>
    </row>
    <row r="53" spans="1:11" ht="15.75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233"/>
    </row>
    <row r="54" spans="1:11" ht="20.25" customHeight="1" thickBot="1" x14ac:dyDescent="0.3">
      <c r="A54" s="245" t="s">
        <v>454</v>
      </c>
      <c r="B54" s="246"/>
      <c r="C54" s="247">
        <f>SUM(C51:C53)</f>
        <v>1548379474.6300001</v>
      </c>
      <c r="D54" s="247">
        <f t="shared" ref="D54:H54" si="2">SUM(D51:D53)</f>
        <v>685446524.71999991</v>
      </c>
      <c r="E54" s="247">
        <f t="shared" si="2"/>
        <v>719611411.25</v>
      </c>
      <c r="F54" s="247">
        <f t="shared" si="2"/>
        <v>359636566</v>
      </c>
      <c r="G54" s="247">
        <f t="shared" si="2"/>
        <v>0</v>
      </c>
      <c r="H54" s="247">
        <f t="shared" si="2"/>
        <v>324851766.11000001</v>
      </c>
      <c r="I54" s="248">
        <f>SUM(I51:I53)</f>
        <v>0</v>
      </c>
      <c r="J54" s="236">
        <f>SUM(C54:I54)</f>
        <v>3637925742.71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hidden="1" x14ac:dyDescent="0.25">
      <c r="A56" s="116"/>
      <c r="B56" s="95" t="s">
        <v>179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214">
        <v>0</v>
      </c>
      <c r="J56" s="89">
        <f t="shared" si="0"/>
        <v>0</v>
      </c>
      <c r="K56" s="249"/>
    </row>
    <row r="57" spans="1:11" ht="15" hidden="1" x14ac:dyDescent="0.25">
      <c r="A57" s="116"/>
      <c r="B57" s="95" t="s">
        <v>145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214">
        <v>0</v>
      </c>
      <c r="J57" s="89">
        <f t="shared" si="0"/>
        <v>0</v>
      </c>
      <c r="K57" s="249"/>
    </row>
    <row r="58" spans="1:11" ht="15" hidden="1" x14ac:dyDescent="0.25">
      <c r="A58" s="116"/>
      <c r="B58" s="95" t="s">
        <v>180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214">
        <v>0</v>
      </c>
      <c r="J58" s="89">
        <f t="shared" si="0"/>
        <v>0</v>
      </c>
      <c r="K58" s="249"/>
    </row>
    <row r="59" spans="1:11" ht="15" hidden="1" x14ac:dyDescent="0.25">
      <c r="A59" s="116"/>
      <c r="B59" s="95" t="s">
        <v>181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214">
        <v>0</v>
      </c>
      <c r="J59" s="89">
        <f t="shared" si="0"/>
        <v>0</v>
      </c>
      <c r="K59" s="249"/>
    </row>
    <row r="60" spans="1:11" ht="15" x14ac:dyDescent="0.25">
      <c r="A60" s="116"/>
      <c r="B60" s="95" t="s">
        <v>182</v>
      </c>
      <c r="C60" s="89">
        <v>13357500</v>
      </c>
      <c r="D60" s="89">
        <v>5167500</v>
      </c>
      <c r="E60" s="89">
        <v>531475000</v>
      </c>
      <c r="F60" s="89">
        <v>204953840</v>
      </c>
      <c r="G60" s="89">
        <v>0</v>
      </c>
      <c r="H60" s="89">
        <v>485143569</v>
      </c>
      <c r="I60" s="214">
        <v>0</v>
      </c>
      <c r="J60" s="89">
        <f t="shared" si="0"/>
        <v>1240097409</v>
      </c>
      <c r="K60" s="249"/>
    </row>
    <row r="61" spans="1:11" ht="15" hidden="1" x14ac:dyDescent="0.25">
      <c r="A61" s="251"/>
      <c r="B61" s="100" t="s">
        <v>183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214">
        <v>0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184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214">
        <v>0</v>
      </c>
      <c r="J62" s="89">
        <f t="shared" si="0"/>
        <v>0</v>
      </c>
      <c r="K62" s="249"/>
    </row>
    <row r="63" spans="1:11" ht="15" x14ac:dyDescent="0.25">
      <c r="A63" s="251"/>
      <c r="B63" s="100" t="s">
        <v>185</v>
      </c>
      <c r="C63" s="89">
        <v>0</v>
      </c>
      <c r="D63" s="89">
        <v>0</v>
      </c>
      <c r="E63" s="89">
        <v>600000</v>
      </c>
      <c r="F63" s="89">
        <v>0</v>
      </c>
      <c r="G63" s="89">
        <v>0</v>
      </c>
      <c r="H63" s="89">
        <v>10715416</v>
      </c>
      <c r="I63" s="214">
        <v>0</v>
      </c>
      <c r="J63" s="89">
        <f t="shared" si="0"/>
        <v>11315416</v>
      </c>
      <c r="K63" s="249"/>
    </row>
    <row r="64" spans="1:11" ht="15" hidden="1" x14ac:dyDescent="0.25">
      <c r="A64" s="251"/>
      <c r="B64" s="100" t="s">
        <v>186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214">
        <v>0</v>
      </c>
      <c r="J64" s="89">
        <f t="shared" si="0"/>
        <v>0</v>
      </c>
      <c r="K64" s="249"/>
    </row>
    <row r="65" spans="1:11" ht="15" x14ac:dyDescent="0.25">
      <c r="A65" s="251"/>
      <c r="B65" s="100" t="s">
        <v>187</v>
      </c>
      <c r="C65" s="89">
        <v>0</v>
      </c>
      <c r="D65" s="89">
        <v>0</v>
      </c>
      <c r="E65" s="89">
        <v>112000000</v>
      </c>
      <c r="F65" s="89">
        <v>0</v>
      </c>
      <c r="G65" s="89">
        <v>0</v>
      </c>
      <c r="H65" s="89">
        <v>159327</v>
      </c>
      <c r="I65" s="214">
        <v>0</v>
      </c>
      <c r="J65" s="89">
        <f t="shared" si="0"/>
        <v>112159327</v>
      </c>
      <c r="K65" s="249"/>
    </row>
    <row r="66" spans="1:11" ht="15" hidden="1" x14ac:dyDescent="0.25">
      <c r="A66" s="251"/>
      <c r="B66" s="100" t="s">
        <v>188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214">
        <v>0</v>
      </c>
      <c r="J66" s="89">
        <f t="shared" si="0"/>
        <v>0</v>
      </c>
      <c r="K66" s="249"/>
    </row>
    <row r="67" spans="1:11" ht="15" hidden="1" x14ac:dyDescent="0.25">
      <c r="A67" s="251"/>
      <c r="B67" s="100" t="s">
        <v>189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214">
        <v>0</v>
      </c>
      <c r="J67" s="89">
        <f t="shared" si="0"/>
        <v>0</v>
      </c>
      <c r="K67" s="249"/>
    </row>
    <row r="68" spans="1:11" ht="15" hidden="1" x14ac:dyDescent="0.25">
      <c r="A68" s="116"/>
      <c r="B68" s="95" t="s">
        <v>190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214">
        <v>0</v>
      </c>
      <c r="J68" s="89">
        <f t="shared" ref="J68:J131" si="3">SUM(C68:I68)</f>
        <v>0</v>
      </c>
      <c r="K68" s="249"/>
    </row>
    <row r="69" spans="1:11" ht="15" x14ac:dyDescent="0.25">
      <c r="A69" s="116"/>
      <c r="B69" s="95" t="s">
        <v>191</v>
      </c>
      <c r="C69" s="89">
        <v>87578710</v>
      </c>
      <c r="D69" s="89">
        <v>38421290</v>
      </c>
      <c r="E69" s="89">
        <v>0</v>
      </c>
      <c r="F69" s="89">
        <v>0</v>
      </c>
      <c r="G69" s="89">
        <v>0</v>
      </c>
      <c r="H69" s="89">
        <v>0</v>
      </c>
      <c r="I69" s="214">
        <v>0</v>
      </c>
      <c r="J69" s="89">
        <f t="shared" si="3"/>
        <v>126000000</v>
      </c>
      <c r="K69" s="249"/>
    </row>
    <row r="70" spans="1:11" ht="15" hidden="1" x14ac:dyDescent="0.25">
      <c r="A70" s="116"/>
      <c r="B70" s="95" t="s">
        <v>192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214">
        <v>0</v>
      </c>
      <c r="J70" s="89">
        <f t="shared" si="3"/>
        <v>0</v>
      </c>
      <c r="K70" s="249"/>
    </row>
    <row r="71" spans="1:11" ht="15" hidden="1" x14ac:dyDescent="0.25">
      <c r="A71" s="116"/>
      <c r="B71" s="95" t="s">
        <v>193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214">
        <v>0</v>
      </c>
      <c r="J75" s="89">
        <f t="shared" si="3"/>
        <v>0</v>
      </c>
      <c r="K75" s="249"/>
    </row>
    <row r="76" spans="1:11" ht="15" x14ac:dyDescent="0.25">
      <c r="A76" s="116"/>
      <c r="B76" s="95" t="s">
        <v>198</v>
      </c>
      <c r="C76" s="89">
        <v>1835000</v>
      </c>
      <c r="D76" s="89">
        <v>860000</v>
      </c>
      <c r="E76" s="89">
        <v>37305000</v>
      </c>
      <c r="F76" s="89">
        <v>0</v>
      </c>
      <c r="G76" s="89">
        <v>0</v>
      </c>
      <c r="H76" s="89">
        <v>90410044</v>
      </c>
      <c r="I76" s="214">
        <v>0</v>
      </c>
      <c r="J76" s="89">
        <f t="shared" si="3"/>
        <v>130410044</v>
      </c>
      <c r="K76" s="249"/>
    </row>
    <row r="77" spans="1:11" ht="15" hidden="1" x14ac:dyDescent="0.25">
      <c r="A77" s="116"/>
      <c r="B77" s="95" t="s">
        <v>199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200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201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214">
        <v>0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202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214">
        <v>0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203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214">
        <v>0</v>
      </c>
      <c r="J81" s="89">
        <f t="shared" si="3"/>
        <v>0</v>
      </c>
      <c r="K81" s="249"/>
    </row>
    <row r="82" spans="1:12" ht="15" x14ac:dyDescent="0.25">
      <c r="A82" s="116"/>
      <c r="B82" s="95" t="s">
        <v>204</v>
      </c>
      <c r="C82" s="89">
        <v>103871130</v>
      </c>
      <c r="D82" s="89">
        <v>43135250</v>
      </c>
      <c r="E82" s="89">
        <v>61985530</v>
      </c>
      <c r="F82" s="89">
        <v>0</v>
      </c>
      <c r="G82" s="89">
        <v>0</v>
      </c>
      <c r="H82" s="89">
        <v>0</v>
      </c>
      <c r="I82" s="214">
        <v>0</v>
      </c>
      <c r="J82" s="89">
        <f t="shared" si="3"/>
        <v>208991910</v>
      </c>
      <c r="K82" s="249"/>
    </row>
    <row r="83" spans="1:12" ht="15" hidden="1" x14ac:dyDescent="0.25">
      <c r="A83" s="116"/>
      <c r="B83" s="95" t="s">
        <v>205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214">
        <v>0</v>
      </c>
      <c r="J83" s="89">
        <f t="shared" si="3"/>
        <v>0</v>
      </c>
      <c r="K83" s="249"/>
    </row>
    <row r="84" spans="1:12" hidden="1" x14ac:dyDescent="0.2">
      <c r="A84" s="116"/>
      <c r="B84" s="95" t="s">
        <v>206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214">
        <v>0</v>
      </c>
      <c r="J84" s="89">
        <f t="shared" si="3"/>
        <v>0</v>
      </c>
      <c r="K84" s="252"/>
    </row>
    <row r="85" spans="1:12" hidden="1" x14ac:dyDescent="0.2">
      <c r="A85" s="116"/>
      <c r="B85" s="95" t="s">
        <v>207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214">
        <v>0</v>
      </c>
      <c r="J85" s="89">
        <f t="shared" si="3"/>
        <v>0</v>
      </c>
      <c r="K85" s="252"/>
    </row>
    <row r="86" spans="1:12" ht="15" hidden="1" x14ac:dyDescent="0.25">
      <c r="A86" s="116"/>
      <c r="B86" s="95" t="s">
        <v>208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214">
        <v>0</v>
      </c>
      <c r="J86" s="89">
        <f t="shared" si="3"/>
        <v>0</v>
      </c>
      <c r="K86" s="249"/>
    </row>
    <row r="87" spans="1:12" ht="15" hidden="1" x14ac:dyDescent="0.25">
      <c r="A87" s="116"/>
      <c r="B87" s="95" t="s">
        <v>209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214">
        <v>0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210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214">
        <v>0</v>
      </c>
      <c r="J88" s="89">
        <f t="shared" si="3"/>
        <v>0</v>
      </c>
      <c r="K88" s="249"/>
      <c r="L88" s="77"/>
    </row>
    <row r="89" spans="1:12" ht="15" hidden="1" x14ac:dyDescent="0.25">
      <c r="A89" s="116"/>
      <c r="B89" s="95" t="s">
        <v>211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214">
        <v>0</v>
      </c>
      <c r="J89" s="89">
        <f t="shared" si="3"/>
        <v>0</v>
      </c>
      <c r="K89" s="249"/>
      <c r="L89" s="77"/>
    </row>
    <row r="90" spans="1:12" ht="15" hidden="1" x14ac:dyDescent="0.25">
      <c r="A90" s="116"/>
      <c r="B90" s="95" t="s">
        <v>212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214">
        <v>0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213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214">
        <v>0</v>
      </c>
      <c r="J91" s="89">
        <f t="shared" si="3"/>
        <v>0</v>
      </c>
      <c r="K91" s="249"/>
      <c r="L91" s="77"/>
    </row>
    <row r="92" spans="1:12" hidden="1" x14ac:dyDescent="0.2">
      <c r="A92" s="116"/>
      <c r="B92" s="95" t="s">
        <v>214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214">
        <v>0</v>
      </c>
      <c r="J92" s="89">
        <f t="shared" si="3"/>
        <v>0</v>
      </c>
      <c r="K92" s="252"/>
    </row>
    <row r="93" spans="1:12" x14ac:dyDescent="0.2">
      <c r="A93" s="116"/>
      <c r="B93" s="95" t="s">
        <v>215</v>
      </c>
      <c r="C93" s="89">
        <v>5102610</v>
      </c>
      <c r="D93" s="89">
        <v>1225590</v>
      </c>
      <c r="E93" s="89">
        <v>2679100</v>
      </c>
      <c r="F93" s="89">
        <v>0</v>
      </c>
      <c r="G93" s="89">
        <v>0</v>
      </c>
      <c r="H93" s="89">
        <v>5679275</v>
      </c>
      <c r="I93" s="214">
        <v>0</v>
      </c>
      <c r="J93" s="89">
        <f t="shared" si="3"/>
        <v>14686575</v>
      </c>
      <c r="K93" s="252"/>
    </row>
    <row r="94" spans="1:12" hidden="1" x14ac:dyDescent="0.2">
      <c r="A94" s="116"/>
      <c r="B94" s="95" t="s">
        <v>216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214">
        <v>0</v>
      </c>
      <c r="J94" s="89">
        <f t="shared" si="3"/>
        <v>0</v>
      </c>
      <c r="K94" s="252"/>
    </row>
    <row r="95" spans="1:12" hidden="1" x14ac:dyDescent="0.2">
      <c r="A95" s="116"/>
      <c r="B95" s="95" t="s">
        <v>217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214">
        <v>0</v>
      </c>
      <c r="J95" s="89">
        <f t="shared" si="3"/>
        <v>0</v>
      </c>
      <c r="K95" s="252"/>
    </row>
    <row r="96" spans="1:12" hidden="1" x14ac:dyDescent="0.2">
      <c r="A96" s="116"/>
      <c r="B96" s="95" t="s">
        <v>218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214">
        <v>0</v>
      </c>
      <c r="J96" s="89">
        <f t="shared" si="3"/>
        <v>0</v>
      </c>
      <c r="K96" s="252"/>
    </row>
    <row r="97" spans="1:11" x14ac:dyDescent="0.2">
      <c r="A97" s="116"/>
      <c r="B97" s="95" t="s">
        <v>219</v>
      </c>
      <c r="C97" s="89">
        <v>33458030</v>
      </c>
      <c r="D97" s="89">
        <v>12661620</v>
      </c>
      <c r="E97" s="89">
        <v>9771550</v>
      </c>
      <c r="F97" s="89">
        <v>0</v>
      </c>
      <c r="G97" s="89">
        <v>0</v>
      </c>
      <c r="H97" s="89">
        <v>0</v>
      </c>
      <c r="I97" s="214">
        <v>0</v>
      </c>
      <c r="J97" s="89">
        <f t="shared" si="3"/>
        <v>55891200</v>
      </c>
      <c r="K97" s="252"/>
    </row>
    <row r="98" spans="1:11" ht="15" hidden="1" x14ac:dyDescent="0.25">
      <c r="A98" s="251"/>
      <c r="B98" s="100" t="s">
        <v>220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214">
        <v>0</v>
      </c>
      <c r="J98" s="89">
        <f t="shared" si="3"/>
        <v>0</v>
      </c>
      <c r="K98" s="249"/>
    </row>
    <row r="99" spans="1:11" ht="15" x14ac:dyDescent="0.25">
      <c r="A99" s="251"/>
      <c r="B99" s="100" t="s">
        <v>221</v>
      </c>
      <c r="C99" s="89">
        <v>3162882</v>
      </c>
      <c r="D99" s="89">
        <v>1384472</v>
      </c>
      <c r="E99" s="89">
        <v>6371750</v>
      </c>
      <c r="F99" s="89">
        <v>0</v>
      </c>
      <c r="G99" s="89">
        <v>0</v>
      </c>
      <c r="H99" s="89">
        <v>2499881</v>
      </c>
      <c r="I99" s="214">
        <v>0</v>
      </c>
      <c r="J99" s="89">
        <f t="shared" si="3"/>
        <v>13418985</v>
      </c>
      <c r="K99" s="219" t="s">
        <v>578</v>
      </c>
    </row>
    <row r="100" spans="1:11" hidden="1" x14ac:dyDescent="0.2">
      <c r="A100" s="210" t="s">
        <v>10</v>
      </c>
      <c r="B100" s="211" t="s">
        <v>142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214">
        <v>0</v>
      </c>
      <c r="J100" s="89">
        <f t="shared" si="3"/>
        <v>0</v>
      </c>
      <c r="K100" s="255"/>
    </row>
    <row r="101" spans="1:11" hidden="1" x14ac:dyDescent="0.2">
      <c r="A101" s="210" t="s">
        <v>10</v>
      </c>
      <c r="B101" s="211" t="s">
        <v>141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33</v>
      </c>
      <c r="B102" s="211" t="s">
        <v>222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hidden="1" x14ac:dyDescent="0.2">
      <c r="A103" s="210" t="s">
        <v>10</v>
      </c>
      <c r="B103" s="211" t="s">
        <v>138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0</v>
      </c>
      <c r="J103" s="89">
        <f t="shared" si="3"/>
        <v>0</v>
      </c>
      <c r="K103" s="255"/>
    </row>
    <row r="104" spans="1:11" hidden="1" x14ac:dyDescent="0.2">
      <c r="A104" s="210" t="s">
        <v>10</v>
      </c>
      <c r="B104" s="211" t="s">
        <v>136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214">
        <v>0</v>
      </c>
      <c r="J104" s="89">
        <f t="shared" si="3"/>
        <v>0</v>
      </c>
      <c r="K104" s="255"/>
    </row>
    <row r="105" spans="1:11" hidden="1" x14ac:dyDescent="0.2">
      <c r="A105" s="257"/>
      <c r="B105" s="95" t="s">
        <v>223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252"/>
    </row>
    <row r="106" spans="1:11" hidden="1" x14ac:dyDescent="0.2">
      <c r="A106" s="257"/>
      <c r="B106" s="95" t="s">
        <v>224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252"/>
    </row>
    <row r="107" spans="1:11" hidden="1" x14ac:dyDescent="0.2">
      <c r="A107" s="257"/>
      <c r="B107" s="95" t="s">
        <v>225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214">
        <v>0</v>
      </c>
      <c r="J107" s="89">
        <f t="shared" si="3"/>
        <v>0</v>
      </c>
      <c r="K107" s="252"/>
    </row>
    <row r="108" spans="1:11" hidden="1" x14ac:dyDescent="0.2">
      <c r="A108" s="257"/>
      <c r="B108" s="95" t="s">
        <v>226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252"/>
    </row>
    <row r="109" spans="1:11" ht="15" hidden="1" x14ac:dyDescent="0.25">
      <c r="A109" s="116"/>
      <c r="B109" s="95" t="s">
        <v>227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0</v>
      </c>
      <c r="J109" s="89">
        <f t="shared" si="3"/>
        <v>0</v>
      </c>
      <c r="K109" s="249"/>
    </row>
    <row r="110" spans="1:11" ht="15" hidden="1" x14ac:dyDescent="0.25">
      <c r="A110" s="116"/>
      <c r="B110" s="95" t="s">
        <v>228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214">
        <v>0</v>
      </c>
      <c r="J110" s="89">
        <f t="shared" si="3"/>
        <v>0</v>
      </c>
      <c r="K110" s="249"/>
    </row>
    <row r="111" spans="1:11" ht="15" hidden="1" x14ac:dyDescent="0.25">
      <c r="A111" s="116"/>
      <c r="B111" s="95" t="s">
        <v>229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214">
        <v>0</v>
      </c>
      <c r="J111" s="89">
        <f t="shared" si="3"/>
        <v>0</v>
      </c>
      <c r="K111" s="249"/>
    </row>
    <row r="112" spans="1:11" ht="15" hidden="1" x14ac:dyDescent="0.25">
      <c r="A112" s="116"/>
      <c r="B112" s="95" t="s">
        <v>230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231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232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0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233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234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49"/>
    </row>
    <row r="117" spans="1:11" ht="15" hidden="1" x14ac:dyDescent="0.25">
      <c r="A117" s="116"/>
      <c r="B117" s="95" t="s">
        <v>9</v>
      </c>
      <c r="C117" s="89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214">
        <v>0</v>
      </c>
      <c r="J117" s="89">
        <f t="shared" si="3"/>
        <v>0</v>
      </c>
      <c r="K117" s="249"/>
    </row>
    <row r="118" spans="1:11" ht="15" hidden="1" x14ac:dyDescent="0.25">
      <c r="A118" s="116"/>
      <c r="B118" s="95" t="s">
        <v>235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214">
        <v>0</v>
      </c>
      <c r="J118" s="89">
        <f t="shared" si="3"/>
        <v>0</v>
      </c>
      <c r="K118" s="249"/>
    </row>
    <row r="119" spans="1:11" ht="15" x14ac:dyDescent="0.25">
      <c r="A119" s="116"/>
      <c r="B119" s="95" t="s">
        <v>236</v>
      </c>
      <c r="C119" s="89">
        <v>77853210</v>
      </c>
      <c r="D119" s="89">
        <v>29398430</v>
      </c>
      <c r="E119" s="89">
        <v>74422610</v>
      </c>
      <c r="F119" s="89">
        <v>0</v>
      </c>
      <c r="G119" s="89">
        <v>0</v>
      </c>
      <c r="H119" s="89">
        <v>0</v>
      </c>
      <c r="I119" s="214">
        <v>0</v>
      </c>
      <c r="J119" s="89">
        <f t="shared" si="3"/>
        <v>181674250</v>
      </c>
      <c r="K119" s="249"/>
    </row>
    <row r="120" spans="1:11" ht="15" hidden="1" x14ac:dyDescent="0.25">
      <c r="A120" s="116"/>
      <c r="B120" s="95" t="s">
        <v>237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214">
        <v>0</v>
      </c>
      <c r="J120" s="89">
        <f t="shared" si="3"/>
        <v>0</v>
      </c>
      <c r="K120" s="249"/>
    </row>
    <row r="121" spans="1:11" ht="15" x14ac:dyDescent="0.25">
      <c r="A121" s="116"/>
      <c r="B121" s="95" t="s">
        <v>238</v>
      </c>
      <c r="C121" s="89">
        <v>0</v>
      </c>
      <c r="D121" s="89">
        <v>0</v>
      </c>
      <c r="E121" s="89">
        <v>82000000</v>
      </c>
      <c r="F121" s="89">
        <v>0</v>
      </c>
      <c r="G121" s="89">
        <v>0</v>
      </c>
      <c r="H121" s="89">
        <v>33609189</v>
      </c>
      <c r="I121" s="214">
        <v>0</v>
      </c>
      <c r="J121" s="89">
        <f t="shared" si="3"/>
        <v>115609189</v>
      </c>
      <c r="K121" s="249"/>
    </row>
    <row r="122" spans="1:11" ht="15" hidden="1" x14ac:dyDescent="0.25">
      <c r="A122" s="251"/>
      <c r="B122" s="100" t="s">
        <v>239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251"/>
      <c r="B123" s="100" t="s">
        <v>240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0</v>
      </c>
      <c r="J123" s="89">
        <f t="shared" si="3"/>
        <v>0</v>
      </c>
      <c r="K123" s="249"/>
    </row>
    <row r="124" spans="1:11" ht="15" hidden="1" x14ac:dyDescent="0.25">
      <c r="A124" s="251"/>
      <c r="B124" s="100" t="s">
        <v>241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8"/>
      <c r="B125" s="244" t="s">
        <v>242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243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214">
        <v>0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244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x14ac:dyDescent="0.25">
      <c r="A128" s="260" t="s">
        <v>245</v>
      </c>
      <c r="B128" s="317"/>
      <c r="C128" s="89">
        <v>0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214"/>
      <c r="J128" s="89"/>
      <c r="K128" s="249"/>
    </row>
    <row r="129" spans="1:11" ht="15" hidden="1" x14ac:dyDescent="0.25">
      <c r="A129" s="116"/>
      <c r="B129" s="95" t="s">
        <v>246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214">
        <v>0</v>
      </c>
      <c r="J129" s="89">
        <f t="shared" si="3"/>
        <v>0</v>
      </c>
      <c r="K129" s="249"/>
    </row>
    <row r="130" spans="1:11" x14ac:dyDescent="0.2">
      <c r="A130" s="251"/>
      <c r="B130" s="100" t="s">
        <v>247</v>
      </c>
      <c r="C130" s="89">
        <v>33634604</v>
      </c>
      <c r="D130" s="89">
        <v>13354782</v>
      </c>
      <c r="E130" s="89">
        <v>93092000</v>
      </c>
      <c r="F130" s="89">
        <v>0</v>
      </c>
      <c r="G130" s="89">
        <v>0</v>
      </c>
      <c r="H130" s="89">
        <v>80411693</v>
      </c>
      <c r="I130" s="214">
        <v>0</v>
      </c>
      <c r="J130" s="89">
        <f t="shared" si="3"/>
        <v>220493079</v>
      </c>
      <c r="K130" s="252"/>
    </row>
    <row r="131" spans="1:11" hidden="1" x14ac:dyDescent="0.2">
      <c r="A131" s="116"/>
      <c r="B131" s="95" t="s">
        <v>248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249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ref="J132:J147" si="4">SUM(C132:I132)</f>
        <v>0</v>
      </c>
      <c r="K132" s="252"/>
    </row>
    <row r="133" spans="1:11" hidden="1" x14ac:dyDescent="0.2">
      <c r="A133" s="116"/>
      <c r="B133" s="95" t="s">
        <v>250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214">
        <v>0</v>
      </c>
      <c r="J133" s="89">
        <f t="shared" si="4"/>
        <v>0</v>
      </c>
      <c r="K133" s="92"/>
    </row>
    <row r="134" spans="1:11" hidden="1" x14ac:dyDescent="0.2">
      <c r="A134" s="116"/>
      <c r="B134" s="95" t="s">
        <v>251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252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253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254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x14ac:dyDescent="0.2">
      <c r="A138" s="116"/>
      <c r="B138" s="95" t="s">
        <v>255</v>
      </c>
      <c r="C138" s="89">
        <v>912086</v>
      </c>
      <c r="D138" s="89">
        <v>440590</v>
      </c>
      <c r="E138" s="89">
        <v>959000</v>
      </c>
      <c r="F138" s="89">
        <v>0</v>
      </c>
      <c r="G138" s="89">
        <v>0</v>
      </c>
      <c r="H138" s="89">
        <v>347780</v>
      </c>
      <c r="I138" s="214">
        <v>0</v>
      </c>
      <c r="J138" s="89">
        <f t="shared" si="4"/>
        <v>2659456</v>
      </c>
      <c r="K138" s="92"/>
    </row>
    <row r="139" spans="1:11" hidden="1" x14ac:dyDescent="0.2">
      <c r="A139" s="116"/>
      <c r="B139" s="95" t="s">
        <v>256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257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hidden="1" x14ac:dyDescent="0.2">
      <c r="A141" s="116"/>
      <c r="B141" s="95" t="s">
        <v>258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0</v>
      </c>
      <c r="J141" s="89">
        <f t="shared" si="4"/>
        <v>0</v>
      </c>
      <c r="K141" s="92"/>
    </row>
    <row r="142" spans="1:11" hidden="1" x14ac:dyDescent="0.2">
      <c r="A142" s="116"/>
      <c r="B142" s="95" t="s">
        <v>259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214">
        <v>0</v>
      </c>
      <c r="J142" s="89">
        <f t="shared" si="4"/>
        <v>0</v>
      </c>
      <c r="K142" s="92"/>
    </row>
    <row r="143" spans="1:11" x14ac:dyDescent="0.2">
      <c r="A143" s="116"/>
      <c r="B143" s="95" t="s">
        <v>260</v>
      </c>
      <c r="C143" s="89">
        <v>2135861</v>
      </c>
      <c r="D143" s="89">
        <v>899794</v>
      </c>
      <c r="E143" s="89">
        <v>29471731</v>
      </c>
      <c r="F143" s="89">
        <v>0</v>
      </c>
      <c r="G143" s="89">
        <v>0</v>
      </c>
      <c r="H143" s="89">
        <v>10389082</v>
      </c>
      <c r="I143" s="214">
        <v>0</v>
      </c>
      <c r="J143" s="89">
        <f t="shared" si="4"/>
        <v>42896468</v>
      </c>
      <c r="K143" s="92"/>
    </row>
    <row r="144" spans="1:11" ht="15.75" thickBot="1" x14ac:dyDescent="0.3">
      <c r="A144" s="261" t="s">
        <v>456</v>
      </c>
      <c r="B144" s="262"/>
      <c r="C144" s="263">
        <f>SUM(C55:C143)</f>
        <v>362901623</v>
      </c>
      <c r="D144" s="263">
        <f t="shared" ref="D144:H144" si="5">SUM(D55:D143)</f>
        <v>146949318</v>
      </c>
      <c r="E144" s="263">
        <f t="shared" si="5"/>
        <v>1042133271</v>
      </c>
      <c r="F144" s="263">
        <f t="shared" si="5"/>
        <v>204953840</v>
      </c>
      <c r="G144" s="263">
        <f t="shared" si="5"/>
        <v>0</v>
      </c>
      <c r="H144" s="263">
        <f t="shared" si="5"/>
        <v>719365256</v>
      </c>
      <c r="I144" s="264">
        <f>SUM(I55:I143)</f>
        <v>0</v>
      </c>
      <c r="J144" s="265">
        <f t="shared" si="4"/>
        <v>2476303308</v>
      </c>
      <c r="K144" s="266"/>
    </row>
    <row r="145" spans="1:10" ht="18.75" customHeight="1" thickBot="1" x14ac:dyDescent="0.3">
      <c r="A145" s="245" t="s">
        <v>457</v>
      </c>
      <c r="B145" s="246"/>
      <c r="C145" s="247">
        <f>C54+C144</f>
        <v>1911281097.6300001</v>
      </c>
      <c r="D145" s="247">
        <f t="shared" ref="D145:I145" si="6">D54+D144</f>
        <v>832395842.71999991</v>
      </c>
      <c r="E145" s="247">
        <f t="shared" si="6"/>
        <v>1761744682.25</v>
      </c>
      <c r="F145" s="247">
        <f t="shared" si="6"/>
        <v>564590406</v>
      </c>
      <c r="G145" s="247">
        <f t="shared" si="6"/>
        <v>0</v>
      </c>
      <c r="H145" s="247">
        <f t="shared" si="6"/>
        <v>1044217022.11</v>
      </c>
      <c r="I145" s="248">
        <f t="shared" si="6"/>
        <v>0</v>
      </c>
      <c r="J145" s="236">
        <f t="shared" si="4"/>
        <v>6114229050.71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0</v>
      </c>
      <c r="F146" s="269">
        <v>-564590406</v>
      </c>
      <c r="G146" s="269">
        <v>0</v>
      </c>
      <c r="H146" s="269">
        <v>0</v>
      </c>
      <c r="I146" s="270">
        <v>0</v>
      </c>
      <c r="J146" s="144">
        <f t="shared" si="4"/>
        <v>-564590406</v>
      </c>
    </row>
    <row r="147" spans="1:10" ht="21.75" customHeight="1" thickBot="1" x14ac:dyDescent="0.3">
      <c r="A147" s="271" t="s">
        <v>459</v>
      </c>
      <c r="B147" s="103"/>
      <c r="C147" s="272">
        <f>C145+C146</f>
        <v>1911281097.6300001</v>
      </c>
      <c r="D147" s="272">
        <f t="shared" ref="D147:I147" si="7">D145+D146</f>
        <v>832395842.71999991</v>
      </c>
      <c r="E147" s="272">
        <f t="shared" si="7"/>
        <v>1761744682.25</v>
      </c>
      <c r="F147" s="272">
        <f t="shared" si="7"/>
        <v>0</v>
      </c>
      <c r="G147" s="272">
        <f t="shared" si="7"/>
        <v>0</v>
      </c>
      <c r="H147" s="272">
        <f t="shared" si="7"/>
        <v>1044217022.11</v>
      </c>
      <c r="I147" s="272">
        <f t="shared" si="7"/>
        <v>0</v>
      </c>
      <c r="J147" s="272">
        <f t="shared" si="4"/>
        <v>5549638644.71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74"/>
      <c r="J148" s="274"/>
    </row>
    <row r="149" spans="1:10" x14ac:dyDescent="0.2">
      <c r="A149" s="275"/>
      <c r="B149" s="191" t="str">
        <f>'[3]PCFP - All Revenue AA-1 R'!C85</f>
        <v>Clark County School District (CCSD)</v>
      </c>
      <c r="C149" s="274" t="s">
        <v>428</v>
      </c>
      <c r="D149" s="274"/>
      <c r="E149" s="276"/>
      <c r="F149" s="276"/>
      <c r="G149" s="276"/>
      <c r="H149" s="274"/>
      <c r="J149" s="278" t="str">
        <f>"Budget Fiscal Year "&amp;TEXT('[3]Form 1'!$C$136, "mm/dd/yy")</f>
        <v>Budget Fiscal Year 2019-2020</v>
      </c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H150" s="274"/>
      <c r="J150" s="280" t="s">
        <v>461</v>
      </c>
    </row>
    <row r="151" spans="1:10" x14ac:dyDescent="0.2">
      <c r="H151" s="280"/>
      <c r="I151" s="280"/>
      <c r="J151" s="191"/>
    </row>
  </sheetData>
  <pageMargins left="0.55000000000000004" right="0" top="0.5" bottom="0.25" header="0.5" footer="0"/>
  <pageSetup scale="61" fitToHeight="3" orientation="landscape" r:id="rId1"/>
  <headerFooter alignWithMargins="0">
    <oddFooter>&amp;C&amp;8FORM 4405LGF
Last Revised &amp;D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33166-3663-49C5-82A2-3FCBEDE880BC}">
  <dimension ref="A2:I19"/>
  <sheetViews>
    <sheetView showGridLines="0" zoomScaleNormal="100" workbookViewId="0">
      <selection activeCell="A5" sqref="A5:XFD7"/>
    </sheetView>
  </sheetViews>
  <sheetFormatPr defaultRowHeight="12.75" x14ac:dyDescent="0.2"/>
  <sheetData>
    <row r="2" spans="1:9" ht="18" x14ac:dyDescent="0.25">
      <c r="A2" s="6" t="s">
        <v>579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  <row r="19" spans="2:2" x14ac:dyDescent="0.2">
      <c r="B19" s="3" t="s">
        <v>463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A8983-4879-497B-BB27-EDFDE614AB4A}">
  <dimension ref="A1:F60"/>
  <sheetViews>
    <sheetView showGridLines="0" topLeftCell="D1" zoomScaleNormal="100" workbookViewId="0">
      <selection activeCell="D2" sqref="D2:E2"/>
    </sheetView>
  </sheetViews>
  <sheetFormatPr defaultRowHeight="12.75" x14ac:dyDescent="0.2"/>
  <cols>
    <col min="1" max="1" width="3" bestFit="1" customWidth="1"/>
    <col min="2" max="2" width="18.5703125" bestFit="1" customWidth="1"/>
    <col min="3" max="3" width="73" bestFit="1" customWidth="1"/>
    <col min="4" max="4" width="14.5703125" bestFit="1" customWidth="1"/>
    <col min="5" max="5" width="5.85546875" bestFit="1" customWidth="1"/>
    <col min="6" max="6" width="5.5703125" bestFit="1" customWidth="1"/>
  </cols>
  <sheetData>
    <row r="1" spans="1:6" x14ac:dyDescent="0.2">
      <c r="E1" t="s">
        <v>0</v>
      </c>
    </row>
    <row r="2" spans="1:6" x14ac:dyDescent="0.2">
      <c r="B2" s="902" t="s">
        <v>1</v>
      </c>
      <c r="C2" s="903" t="s">
        <v>2</v>
      </c>
      <c r="D2" s="903" t="s">
        <v>3</v>
      </c>
      <c r="E2" s="902" t="s">
        <v>4</v>
      </c>
    </row>
    <row r="3" spans="1:6" x14ac:dyDescent="0.2">
      <c r="A3" s="3">
        <v>1</v>
      </c>
      <c r="B3" s="904">
        <v>201</v>
      </c>
      <c r="C3" s="905" t="s">
        <v>5</v>
      </c>
      <c r="D3" s="905" t="s">
        <v>6</v>
      </c>
      <c r="E3" s="904" t="s">
        <v>7</v>
      </c>
    </row>
    <row r="4" spans="1:6" x14ac:dyDescent="0.2">
      <c r="A4" s="3">
        <v>2</v>
      </c>
      <c r="B4" s="904">
        <v>238</v>
      </c>
      <c r="C4" s="905" t="s">
        <v>8</v>
      </c>
      <c r="D4" s="905" t="s">
        <v>6</v>
      </c>
      <c r="E4" s="904" t="s">
        <v>7</v>
      </c>
    </row>
    <row r="5" spans="1:6" x14ac:dyDescent="0.2">
      <c r="A5" s="3">
        <v>3</v>
      </c>
      <c r="B5" s="904">
        <v>205</v>
      </c>
      <c r="C5" s="905" t="s">
        <v>9</v>
      </c>
      <c r="D5" s="906" t="s">
        <v>9</v>
      </c>
      <c r="E5" s="907" t="s">
        <v>10</v>
      </c>
    </row>
    <row r="6" spans="1:6" x14ac:dyDescent="0.2">
      <c r="A6" s="3">
        <v>4</v>
      </c>
      <c r="B6" s="904">
        <v>265</v>
      </c>
      <c r="C6" s="905" t="s">
        <v>11</v>
      </c>
      <c r="D6" s="906" t="s">
        <v>9</v>
      </c>
      <c r="E6" s="904" t="s">
        <v>10</v>
      </c>
    </row>
    <row r="7" spans="1:6" x14ac:dyDescent="0.2">
      <c r="A7" s="3">
        <v>5</v>
      </c>
      <c r="B7" s="904">
        <v>280</v>
      </c>
      <c r="C7" s="905" t="s">
        <v>12</v>
      </c>
      <c r="D7" s="905" t="s">
        <v>109</v>
      </c>
      <c r="E7" s="904" t="s">
        <v>10</v>
      </c>
      <c r="F7" s="3" t="s">
        <v>13</v>
      </c>
    </row>
    <row r="8" spans="1:6" x14ac:dyDescent="0.2">
      <c r="A8" s="3">
        <v>6</v>
      </c>
      <c r="B8" s="904">
        <v>213</v>
      </c>
      <c r="C8" s="905" t="s">
        <v>14</v>
      </c>
      <c r="D8" s="905" t="s">
        <v>15</v>
      </c>
      <c r="E8" s="904" t="s">
        <v>10</v>
      </c>
    </row>
    <row r="9" spans="1:6" x14ac:dyDescent="0.2">
      <c r="A9" s="3">
        <v>7</v>
      </c>
      <c r="B9" s="904">
        <v>375</v>
      </c>
      <c r="C9" s="905" t="s">
        <v>16</v>
      </c>
      <c r="D9" s="905" t="s">
        <v>6</v>
      </c>
      <c r="E9" s="904" t="s">
        <v>7</v>
      </c>
    </row>
    <row r="10" spans="1:6" x14ac:dyDescent="0.2">
      <c r="A10" s="3">
        <v>8</v>
      </c>
      <c r="B10" s="904" t="s">
        <v>17</v>
      </c>
      <c r="C10" s="905" t="s">
        <v>18</v>
      </c>
      <c r="D10" s="905" t="s">
        <v>6</v>
      </c>
      <c r="E10" s="904" t="s">
        <v>7</v>
      </c>
    </row>
    <row r="11" spans="1:6" x14ac:dyDescent="0.2">
      <c r="A11" s="3">
        <v>9</v>
      </c>
      <c r="B11" s="904" t="s">
        <v>19</v>
      </c>
      <c r="C11" s="905" t="s">
        <v>20</v>
      </c>
      <c r="D11" s="905" t="s">
        <v>6</v>
      </c>
      <c r="E11" s="904" t="s">
        <v>7</v>
      </c>
    </row>
    <row r="12" spans="1:6" x14ac:dyDescent="0.2">
      <c r="A12" s="3">
        <v>10</v>
      </c>
      <c r="B12" s="904" t="s">
        <v>21</v>
      </c>
      <c r="C12" s="905" t="s">
        <v>22</v>
      </c>
      <c r="D12" s="905" t="s">
        <v>6</v>
      </c>
      <c r="E12" s="904" t="s">
        <v>7</v>
      </c>
    </row>
    <row r="13" spans="1:6" x14ac:dyDescent="0.2">
      <c r="A13" s="3">
        <v>11</v>
      </c>
      <c r="B13" s="904" t="s">
        <v>23</v>
      </c>
      <c r="C13" s="905" t="s">
        <v>24</v>
      </c>
      <c r="D13" s="905" t="s">
        <v>6</v>
      </c>
      <c r="E13" s="904" t="s">
        <v>7</v>
      </c>
    </row>
    <row r="14" spans="1:6" x14ac:dyDescent="0.2">
      <c r="A14" s="3">
        <v>12</v>
      </c>
      <c r="B14" s="904">
        <v>267</v>
      </c>
      <c r="C14" s="905" t="s">
        <v>25</v>
      </c>
      <c r="D14" s="905" t="s">
        <v>6</v>
      </c>
      <c r="E14" s="904" t="s">
        <v>7</v>
      </c>
    </row>
    <row r="15" spans="1:6" x14ac:dyDescent="0.2">
      <c r="A15" s="3">
        <v>13</v>
      </c>
      <c r="B15" s="904">
        <v>243</v>
      </c>
      <c r="C15" s="905" t="s">
        <v>26</v>
      </c>
      <c r="D15" s="905" t="s">
        <v>6</v>
      </c>
      <c r="E15" s="904" t="s">
        <v>7</v>
      </c>
    </row>
    <row r="16" spans="1:6" x14ac:dyDescent="0.2">
      <c r="A16" s="3">
        <v>14</v>
      </c>
      <c r="B16" s="904">
        <v>251</v>
      </c>
      <c r="C16" s="905" t="s">
        <v>27</v>
      </c>
      <c r="D16" s="905" t="s">
        <v>6</v>
      </c>
      <c r="E16" s="904" t="s">
        <v>7</v>
      </c>
    </row>
    <row r="17" spans="1:5" x14ac:dyDescent="0.2">
      <c r="A17" s="3">
        <v>15</v>
      </c>
      <c r="B17" s="904" t="s">
        <v>28</v>
      </c>
      <c r="C17" s="905" t="s">
        <v>29</v>
      </c>
      <c r="D17" s="905" t="s">
        <v>6</v>
      </c>
      <c r="E17" s="904" t="s">
        <v>7</v>
      </c>
    </row>
    <row r="18" spans="1:5" x14ac:dyDescent="0.2">
      <c r="A18" s="3">
        <v>16</v>
      </c>
      <c r="B18" s="904">
        <v>261</v>
      </c>
      <c r="C18" s="905" t="s">
        <v>30</v>
      </c>
      <c r="D18" s="905" t="s">
        <v>6</v>
      </c>
      <c r="E18" s="904" t="s">
        <v>7</v>
      </c>
    </row>
    <row r="19" spans="1:5" x14ac:dyDescent="0.2">
      <c r="A19" s="3">
        <v>17</v>
      </c>
      <c r="B19" s="904">
        <v>214</v>
      </c>
      <c r="C19" s="905" t="s">
        <v>31</v>
      </c>
      <c r="D19" s="905" t="s">
        <v>32</v>
      </c>
      <c r="E19" s="904" t="s">
        <v>33</v>
      </c>
    </row>
    <row r="20" spans="1:5" x14ac:dyDescent="0.2">
      <c r="A20" s="3">
        <v>18</v>
      </c>
      <c r="B20" s="904">
        <v>282</v>
      </c>
      <c r="C20" s="905" t="s">
        <v>34</v>
      </c>
      <c r="D20" s="905" t="s">
        <v>6</v>
      </c>
      <c r="E20" s="904" t="s">
        <v>7</v>
      </c>
    </row>
    <row r="21" spans="1:5" x14ac:dyDescent="0.2">
      <c r="A21" s="3">
        <v>19</v>
      </c>
      <c r="B21" s="904" t="s">
        <v>35</v>
      </c>
      <c r="C21" s="905" t="s">
        <v>36</v>
      </c>
      <c r="D21" s="905" t="s">
        <v>6</v>
      </c>
      <c r="E21" s="904" t="s">
        <v>7</v>
      </c>
    </row>
    <row r="22" spans="1:5" x14ac:dyDescent="0.2">
      <c r="A22" s="3">
        <v>20</v>
      </c>
      <c r="B22" s="904">
        <v>353</v>
      </c>
      <c r="C22" s="905" t="s">
        <v>37</v>
      </c>
      <c r="D22" s="905" t="s">
        <v>6</v>
      </c>
      <c r="E22" s="904" t="s">
        <v>7</v>
      </c>
    </row>
    <row r="23" spans="1:5" x14ac:dyDescent="0.2">
      <c r="A23" s="3">
        <v>21</v>
      </c>
      <c r="B23" s="904">
        <v>352</v>
      </c>
      <c r="C23" s="905" t="s">
        <v>38</v>
      </c>
      <c r="D23" s="905" t="s">
        <v>6</v>
      </c>
      <c r="E23" s="904" t="s">
        <v>7</v>
      </c>
    </row>
    <row r="24" spans="1:5" x14ac:dyDescent="0.2">
      <c r="A24" s="3">
        <v>22</v>
      </c>
      <c r="B24" s="904">
        <v>351</v>
      </c>
      <c r="C24" s="905" t="s">
        <v>39</v>
      </c>
      <c r="D24" s="905" t="s">
        <v>6</v>
      </c>
      <c r="E24" s="904" t="s">
        <v>7</v>
      </c>
    </row>
    <row r="25" spans="1:5" x14ac:dyDescent="0.2">
      <c r="A25" s="3">
        <v>23</v>
      </c>
      <c r="B25" s="904">
        <v>350</v>
      </c>
      <c r="C25" s="905" t="s">
        <v>40</v>
      </c>
      <c r="D25" s="905" t="s">
        <v>6</v>
      </c>
      <c r="E25" s="904" t="s">
        <v>7</v>
      </c>
    </row>
    <row r="26" spans="1:5" x14ac:dyDescent="0.2">
      <c r="A26" s="3">
        <v>24</v>
      </c>
      <c r="B26" s="904">
        <v>252</v>
      </c>
      <c r="C26" s="905" t="s">
        <v>41</v>
      </c>
      <c r="D26" s="905" t="s">
        <v>6</v>
      </c>
      <c r="E26" s="904" t="s">
        <v>7</v>
      </c>
    </row>
    <row r="27" spans="1:5" x14ac:dyDescent="0.2">
      <c r="A27" s="3">
        <v>25</v>
      </c>
      <c r="B27" s="904">
        <v>208</v>
      </c>
      <c r="C27" s="905" t="s">
        <v>42</v>
      </c>
      <c r="D27" s="905" t="s">
        <v>6</v>
      </c>
      <c r="E27" s="904" t="s">
        <v>7</v>
      </c>
    </row>
    <row r="28" spans="1:5" x14ac:dyDescent="0.2">
      <c r="A28" s="3">
        <v>26</v>
      </c>
      <c r="B28" s="904">
        <v>294</v>
      </c>
      <c r="C28" s="905" t="s">
        <v>43</v>
      </c>
      <c r="D28" s="905" t="s">
        <v>6</v>
      </c>
      <c r="E28" s="904" t="s">
        <v>7</v>
      </c>
    </row>
    <row r="29" spans="1:5" x14ac:dyDescent="0.2">
      <c r="A29" s="3">
        <v>27</v>
      </c>
      <c r="B29" s="904">
        <v>327</v>
      </c>
      <c r="C29" s="905" t="s">
        <v>44</v>
      </c>
      <c r="D29" s="905" t="s">
        <v>6</v>
      </c>
      <c r="E29" s="904" t="s">
        <v>7</v>
      </c>
    </row>
    <row r="30" spans="1:5" x14ac:dyDescent="0.2">
      <c r="A30" s="3">
        <v>28</v>
      </c>
      <c r="B30" s="904">
        <v>325</v>
      </c>
      <c r="C30" s="905" t="s">
        <v>45</v>
      </c>
      <c r="D30" s="905" t="s">
        <v>6</v>
      </c>
      <c r="E30" s="904" t="s">
        <v>7</v>
      </c>
    </row>
    <row r="31" spans="1:5" x14ac:dyDescent="0.2">
      <c r="A31" s="3">
        <v>29</v>
      </c>
      <c r="B31" s="904" t="s">
        <v>46</v>
      </c>
      <c r="C31" s="905" t="s">
        <v>47</v>
      </c>
      <c r="D31" s="905" t="s">
        <v>48</v>
      </c>
      <c r="E31" s="904" t="s">
        <v>10</v>
      </c>
    </row>
    <row r="32" spans="1:5" x14ac:dyDescent="0.2">
      <c r="A32" s="3">
        <v>30</v>
      </c>
      <c r="B32" s="904">
        <v>275</v>
      </c>
      <c r="C32" s="905" t="s">
        <v>49</v>
      </c>
      <c r="D32" s="905" t="s">
        <v>50</v>
      </c>
      <c r="E32" s="904" t="s">
        <v>10</v>
      </c>
    </row>
    <row r="33" spans="1:5" x14ac:dyDescent="0.2">
      <c r="B33" s="904"/>
      <c r="C33" s="908"/>
      <c r="D33" s="908"/>
      <c r="E33" s="908"/>
    </row>
    <row r="34" spans="1:5" x14ac:dyDescent="0.2">
      <c r="B34" s="902" t="s">
        <v>1</v>
      </c>
      <c r="C34" s="903" t="s">
        <v>51</v>
      </c>
      <c r="D34" s="908"/>
      <c r="E34" s="908"/>
    </row>
    <row r="35" spans="1:5" x14ac:dyDescent="0.2">
      <c r="A35" s="3">
        <v>1</v>
      </c>
      <c r="B35" s="904">
        <v>202</v>
      </c>
      <c r="C35" s="905" t="s">
        <v>52</v>
      </c>
      <c r="D35" s="908" t="s">
        <v>53</v>
      </c>
      <c r="E35" s="908"/>
    </row>
    <row r="36" spans="1:5" x14ac:dyDescent="0.2">
      <c r="A36" s="3">
        <v>2</v>
      </c>
      <c r="B36" s="904">
        <v>227</v>
      </c>
      <c r="C36" s="905" t="s">
        <v>54</v>
      </c>
      <c r="D36" s="908" t="s">
        <v>53</v>
      </c>
      <c r="E36" s="908"/>
    </row>
    <row r="37" spans="1:5" x14ac:dyDescent="0.2">
      <c r="A37" s="3">
        <v>3</v>
      </c>
      <c r="B37" s="904">
        <v>228</v>
      </c>
      <c r="C37" s="905" t="s">
        <v>55</v>
      </c>
      <c r="D37" s="908" t="s">
        <v>53</v>
      </c>
      <c r="E37" s="908"/>
    </row>
    <row r="38" spans="1:5" x14ac:dyDescent="0.2">
      <c r="A38" s="3">
        <v>4</v>
      </c>
      <c r="B38" s="904" t="s">
        <v>56</v>
      </c>
      <c r="C38" s="905" t="s">
        <v>57</v>
      </c>
      <c r="D38" s="908" t="s">
        <v>53</v>
      </c>
      <c r="E38" s="908"/>
    </row>
    <row r="39" spans="1:5" x14ac:dyDescent="0.2">
      <c r="A39" s="3">
        <v>5</v>
      </c>
      <c r="B39" s="904" t="s">
        <v>58</v>
      </c>
      <c r="C39" s="905" t="s">
        <v>59</v>
      </c>
      <c r="D39" s="908" t="s">
        <v>53</v>
      </c>
      <c r="E39" s="908"/>
    </row>
    <row r="40" spans="1:5" x14ac:dyDescent="0.2">
      <c r="A40" s="3">
        <v>6</v>
      </c>
      <c r="B40" s="904" t="s">
        <v>60</v>
      </c>
      <c r="C40" s="905" t="s">
        <v>61</v>
      </c>
      <c r="D40" s="908" t="s">
        <v>53</v>
      </c>
      <c r="E40" s="908"/>
    </row>
    <row r="41" spans="1:5" x14ac:dyDescent="0.2">
      <c r="A41" s="3">
        <v>7</v>
      </c>
      <c r="B41" s="904">
        <v>218</v>
      </c>
      <c r="C41" s="905" t="s">
        <v>62</v>
      </c>
      <c r="D41" s="908" t="s">
        <v>53</v>
      </c>
      <c r="E41" s="908"/>
    </row>
    <row r="42" spans="1:5" x14ac:dyDescent="0.2">
      <c r="A42" s="3">
        <v>8</v>
      </c>
      <c r="B42" s="904">
        <v>241</v>
      </c>
      <c r="C42" s="905" t="s">
        <v>63</v>
      </c>
      <c r="D42" s="908" t="s">
        <v>53</v>
      </c>
      <c r="E42" s="908"/>
    </row>
    <row r="43" spans="1:5" x14ac:dyDescent="0.2">
      <c r="A43" s="3">
        <v>9</v>
      </c>
      <c r="B43" s="904">
        <v>244</v>
      </c>
      <c r="C43" s="905" t="s">
        <v>64</v>
      </c>
      <c r="D43" s="908" t="s">
        <v>53</v>
      </c>
      <c r="E43" s="908"/>
    </row>
    <row r="44" spans="1:5" x14ac:dyDescent="0.2">
      <c r="A44" s="3">
        <v>10</v>
      </c>
      <c r="B44" s="904">
        <v>310</v>
      </c>
      <c r="C44" s="905" t="s">
        <v>65</v>
      </c>
      <c r="D44" s="908" t="s">
        <v>53</v>
      </c>
      <c r="E44" s="908"/>
    </row>
    <row r="45" spans="1:5" x14ac:dyDescent="0.2">
      <c r="A45" s="3">
        <v>11</v>
      </c>
      <c r="B45" s="904">
        <v>367</v>
      </c>
      <c r="C45" s="905" t="s">
        <v>66</v>
      </c>
      <c r="D45" s="908" t="s">
        <v>53</v>
      </c>
      <c r="E45" s="908"/>
    </row>
    <row r="46" spans="1:5" x14ac:dyDescent="0.2">
      <c r="A46" s="3">
        <v>12</v>
      </c>
      <c r="B46" s="904">
        <v>256</v>
      </c>
      <c r="C46" s="905" t="s">
        <v>67</v>
      </c>
      <c r="D46" s="908" t="s">
        <v>53</v>
      </c>
      <c r="E46" s="908"/>
    </row>
    <row r="47" spans="1:5" x14ac:dyDescent="0.2">
      <c r="A47" s="3">
        <v>13</v>
      </c>
      <c r="B47" s="904">
        <v>321</v>
      </c>
      <c r="C47" s="905" t="s">
        <v>68</v>
      </c>
      <c r="D47" s="908" t="s">
        <v>53</v>
      </c>
      <c r="E47" s="908"/>
    </row>
    <row r="48" spans="1:5" x14ac:dyDescent="0.2">
      <c r="A48" s="3">
        <v>14</v>
      </c>
      <c r="B48" s="904">
        <v>359</v>
      </c>
      <c r="C48" s="905" t="s">
        <v>69</v>
      </c>
      <c r="D48" s="908" t="s">
        <v>53</v>
      </c>
      <c r="E48" s="908"/>
    </row>
    <row r="49" spans="1:5" x14ac:dyDescent="0.2">
      <c r="A49" s="3">
        <v>15</v>
      </c>
      <c r="B49" s="904">
        <v>206</v>
      </c>
      <c r="C49" s="905" t="s">
        <v>70</v>
      </c>
      <c r="D49" s="908" t="s">
        <v>53</v>
      </c>
      <c r="E49" s="908"/>
    </row>
    <row r="50" spans="1:5" x14ac:dyDescent="0.2">
      <c r="A50" s="3">
        <v>16</v>
      </c>
      <c r="B50" s="904">
        <v>398</v>
      </c>
      <c r="C50" s="905" t="s">
        <v>71</v>
      </c>
      <c r="D50" s="908" t="s">
        <v>53</v>
      </c>
      <c r="E50" s="908"/>
    </row>
    <row r="51" spans="1:5" x14ac:dyDescent="0.2">
      <c r="A51" s="3">
        <v>17</v>
      </c>
      <c r="B51" s="904">
        <v>361</v>
      </c>
      <c r="C51" s="905" t="s">
        <v>72</v>
      </c>
      <c r="D51" s="908" t="s">
        <v>53</v>
      </c>
      <c r="E51" s="908"/>
    </row>
    <row r="52" spans="1:5" x14ac:dyDescent="0.2">
      <c r="A52" s="3">
        <v>18</v>
      </c>
      <c r="B52" s="904" t="s">
        <v>28</v>
      </c>
      <c r="C52" s="905" t="s">
        <v>73</v>
      </c>
      <c r="D52" s="908" t="s">
        <v>53</v>
      </c>
      <c r="E52" s="908"/>
    </row>
    <row r="53" spans="1:5" x14ac:dyDescent="0.2">
      <c r="A53" s="3">
        <v>19</v>
      </c>
      <c r="B53" s="904">
        <v>230</v>
      </c>
      <c r="C53" s="905" t="s">
        <v>74</v>
      </c>
      <c r="D53" s="908" t="s">
        <v>53</v>
      </c>
      <c r="E53" s="908"/>
    </row>
    <row r="54" spans="1:5" x14ac:dyDescent="0.2">
      <c r="A54" s="3">
        <v>20</v>
      </c>
      <c r="B54" s="904">
        <v>245</v>
      </c>
      <c r="C54" s="905" t="s">
        <v>75</v>
      </c>
      <c r="D54" s="908" t="s">
        <v>53</v>
      </c>
      <c r="E54" s="908"/>
    </row>
    <row r="55" spans="1:5" x14ac:dyDescent="0.2">
      <c r="A55" s="3">
        <v>21</v>
      </c>
      <c r="B55" s="904" t="s">
        <v>76</v>
      </c>
      <c r="C55" s="905" t="s">
        <v>77</v>
      </c>
      <c r="D55" s="908" t="s">
        <v>53</v>
      </c>
      <c r="E55" s="908"/>
    </row>
    <row r="56" spans="1:5" x14ac:dyDescent="0.2">
      <c r="A56" s="3">
        <v>22</v>
      </c>
      <c r="B56" s="904" t="s">
        <v>78</v>
      </c>
      <c r="C56" s="905" t="s">
        <v>79</v>
      </c>
      <c r="D56" s="908" t="s">
        <v>53</v>
      </c>
      <c r="E56" s="908"/>
    </row>
    <row r="57" spans="1:5" x14ac:dyDescent="0.2">
      <c r="A57" s="3">
        <v>23</v>
      </c>
      <c r="B57" s="904">
        <v>357</v>
      </c>
      <c r="C57" s="905" t="s">
        <v>80</v>
      </c>
      <c r="D57" s="908" t="s">
        <v>53</v>
      </c>
      <c r="E57" s="908"/>
    </row>
    <row r="58" spans="1:5" x14ac:dyDescent="0.2">
      <c r="A58" s="3">
        <v>24</v>
      </c>
      <c r="B58" s="904">
        <v>358</v>
      </c>
      <c r="C58" s="905" t="s">
        <v>81</v>
      </c>
      <c r="D58" s="908" t="s">
        <v>53</v>
      </c>
      <c r="E58" s="908"/>
    </row>
    <row r="59" spans="1:5" x14ac:dyDescent="0.2">
      <c r="A59" s="3">
        <v>25</v>
      </c>
      <c r="B59" s="904">
        <v>328</v>
      </c>
      <c r="C59" s="905" t="s">
        <v>82</v>
      </c>
      <c r="D59" s="908" t="s">
        <v>53</v>
      </c>
      <c r="E59" s="908"/>
    </row>
    <row r="60" spans="1:5" x14ac:dyDescent="0.2">
      <c r="A60" s="3">
        <v>26</v>
      </c>
      <c r="B60" s="904">
        <v>380</v>
      </c>
      <c r="C60" s="905" t="s">
        <v>83</v>
      </c>
      <c r="D60" s="908" t="s">
        <v>53</v>
      </c>
      <c r="E60" s="908"/>
    </row>
  </sheetData>
  <pageMargins left="0.7" right="0.7" top="0.75" bottom="0.75" header="0.3" footer="0.3"/>
  <pageSetup scale="7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07C05-B6E7-4F83-B591-8F62ADEAEE7F}">
  <dimension ref="A1:G158"/>
  <sheetViews>
    <sheetView showGridLines="0" zoomScale="115" zoomScaleNormal="115" workbookViewId="0">
      <selection activeCell="D164" sqref="D164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4" width="16.28515625" style="12" bestFit="1" customWidth="1"/>
    <col min="5" max="5" width="18.5703125" style="3" bestFit="1" customWidth="1"/>
    <col min="6" max="6" width="13.2851562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10" t="s">
        <v>580</v>
      </c>
      <c r="D1" s="10" t="s">
        <v>119</v>
      </c>
    </row>
    <row r="3" spans="1:5" s="15" customFormat="1" ht="38.25" x14ac:dyDescent="0.2">
      <c r="A3" s="13"/>
      <c r="B3" s="13" t="s">
        <v>120</v>
      </c>
      <c r="C3" s="14" t="s">
        <v>545</v>
      </c>
      <c r="D3" s="14" t="s">
        <v>546</v>
      </c>
      <c r="E3" s="14" t="s">
        <v>123</v>
      </c>
    </row>
    <row r="4" spans="1:5" x14ac:dyDescent="0.2">
      <c r="B4" s="3"/>
    </row>
    <row r="5" spans="1:5" x14ac:dyDescent="0.2">
      <c r="B5" s="16" t="s">
        <v>124</v>
      </c>
      <c r="C5" s="12">
        <f>'19_20 District Budget-4'!O18</f>
        <v>57509229</v>
      </c>
      <c r="D5" s="12">
        <f>'PCFP - All Revenue AA-1 R-4'!F33+'PCFP - All Revenue AA-1 R-4'!H33</f>
        <v>10242513</v>
      </c>
      <c r="E5" s="484">
        <f>D5-C5</f>
        <v>-47266716</v>
      </c>
    </row>
    <row r="6" spans="1:5" x14ac:dyDescent="0.2">
      <c r="E6" s="484"/>
    </row>
    <row r="7" spans="1:5" x14ac:dyDescent="0.2">
      <c r="B7" s="16" t="s">
        <v>125</v>
      </c>
      <c r="C7" s="12">
        <f>'19_20 District Budget-4'!O26</f>
        <v>18657806</v>
      </c>
      <c r="D7" s="12">
        <f>'PCFP - All Revenue AA-1 R-4'!F49+'PCFP - All Revenue AA-1 R-4'!H49</f>
        <v>54833799.968116045</v>
      </c>
      <c r="E7" s="484">
        <f>D7-C7</f>
        <v>36175993.968116045</v>
      </c>
    </row>
    <row r="8" spans="1:5" x14ac:dyDescent="0.2">
      <c r="E8" s="484"/>
    </row>
    <row r="9" spans="1:5" x14ac:dyDescent="0.2">
      <c r="B9" s="16" t="s">
        <v>126</v>
      </c>
      <c r="C9" s="12">
        <f>'19_20 District Budget-4'!O31</f>
        <v>4135693</v>
      </c>
      <c r="D9" s="12">
        <f>'PCFP - All Revenue AA-1 R-4'!F57+'PCFP - All Revenue AA-1 R-4'!H57</f>
        <v>4135693</v>
      </c>
      <c r="E9" s="484">
        <f>D9-C9</f>
        <v>0</v>
      </c>
    </row>
    <row r="10" spans="1:5" x14ac:dyDescent="0.2">
      <c r="E10" s="484"/>
    </row>
    <row r="11" spans="1:5" x14ac:dyDescent="0.2">
      <c r="B11" s="16" t="s">
        <v>127</v>
      </c>
      <c r="C11" s="12">
        <f>'19_20 District Budget-4'!O37</f>
        <v>8000</v>
      </c>
      <c r="D11" s="12">
        <f>'PCFP - All Revenue AA-1 R-4'!F67+'PCFP - All Revenue AA-1 R-4'!H67</f>
        <v>4766984</v>
      </c>
      <c r="E11" s="484">
        <f>D11-C11</f>
        <v>4758984</v>
      </c>
    </row>
    <row r="12" spans="1:5" x14ac:dyDescent="0.2">
      <c r="E12" s="484"/>
    </row>
    <row r="13" spans="1:5" s="2" customFormat="1" x14ac:dyDescent="0.2">
      <c r="B13" s="18" t="s">
        <v>128</v>
      </c>
      <c r="C13" s="19">
        <f t="shared" ref="C13" si="0">SUM(C5:C12)</f>
        <v>80310728</v>
      </c>
      <c r="D13" s="19">
        <f>SUM(D5:D12)</f>
        <v>73978989.968116045</v>
      </c>
      <c r="E13" s="41">
        <f>D13-C13</f>
        <v>-6331738.031883955</v>
      </c>
    </row>
    <row r="14" spans="1:5" x14ac:dyDescent="0.2">
      <c r="E14" s="484"/>
    </row>
    <row r="15" spans="1:5" x14ac:dyDescent="0.2">
      <c r="B15" s="16" t="s">
        <v>129</v>
      </c>
      <c r="C15" s="12">
        <f>'19_20 District Budget-4'!O44</f>
        <v>22587408</v>
      </c>
      <c r="D15" s="12">
        <f>'PCFP - All Revenue AA-1 R-4'!F71+'PCFP - All Revenue AA-1 R-4'!H71</f>
        <v>22587408</v>
      </c>
      <c r="E15" s="328">
        <f>D15-C15</f>
        <v>0</v>
      </c>
    </row>
    <row r="16" spans="1:5" x14ac:dyDescent="0.2">
      <c r="E16" s="484"/>
    </row>
    <row r="17" spans="1:7" x14ac:dyDescent="0.2">
      <c r="A17" s="22"/>
      <c r="B17" s="23" t="s">
        <v>306</v>
      </c>
      <c r="C17" s="24">
        <f t="shared" ref="C17" si="1">SUM(C13:C15)</f>
        <v>102898136</v>
      </c>
      <c r="D17" s="24">
        <f>SUM(D13:D15)</f>
        <v>96566397.968116045</v>
      </c>
      <c r="E17" s="485">
        <f>D17-C17</f>
        <v>-6331738.031883955</v>
      </c>
      <c r="F17" s="26"/>
      <c r="G17" s="17"/>
    </row>
    <row r="18" spans="1:7" s="2" customFormat="1" x14ac:dyDescent="0.2">
      <c r="A18" s="27"/>
      <c r="B18" s="28" t="s">
        <v>131</v>
      </c>
      <c r="C18" s="285">
        <f>SUM(C21,C39,C68)</f>
        <v>102898136</v>
      </c>
      <c r="D18" s="285">
        <f>SUM(D21,D39,D68)</f>
        <v>102898136</v>
      </c>
      <c r="E18" s="486">
        <f>D18-C18</f>
        <v>0</v>
      </c>
      <c r="F18" s="42"/>
    </row>
    <row r="19" spans="1:7" x14ac:dyDescent="0.2">
      <c r="A19" s="30"/>
      <c r="B19" s="286" t="s">
        <v>132</v>
      </c>
      <c r="C19" s="909">
        <f t="shared" ref="C19" si="2">C17-C18</f>
        <v>0</v>
      </c>
      <c r="D19" s="909">
        <f>D17-D18</f>
        <v>-6331738.031883955</v>
      </c>
      <c r="E19" s="486">
        <f>D19-C19</f>
        <v>-6331738.031883955</v>
      </c>
    </row>
    <row r="20" spans="1:7" x14ac:dyDescent="0.2">
      <c r="E20" s="484"/>
    </row>
    <row r="21" spans="1:7" x14ac:dyDescent="0.2">
      <c r="B21" s="2" t="s">
        <v>307</v>
      </c>
      <c r="C21" s="12">
        <f>SUM(C22:C37)</f>
        <v>43510999</v>
      </c>
      <c r="D21" s="12">
        <f>SUM(D22:D37)</f>
        <v>28875558</v>
      </c>
      <c r="E21" s="484"/>
    </row>
    <row r="22" spans="1:7" hidden="1" x14ac:dyDescent="0.2">
      <c r="A22" s="2">
        <v>100</v>
      </c>
      <c r="B22" t="s">
        <v>134</v>
      </c>
      <c r="C22" s="12">
        <f>'19_20 District Budget-4'!O51</f>
        <v>28510963</v>
      </c>
      <c r="D22" s="12">
        <f>'PCFP-All Expense AA-1 Modif-4'!J3</f>
        <v>25527798</v>
      </c>
      <c r="E22" s="487"/>
    </row>
    <row r="23" spans="1:7" hidden="1" x14ac:dyDescent="0.2">
      <c r="A23" s="2">
        <v>200</v>
      </c>
      <c r="B23" t="s">
        <v>135</v>
      </c>
      <c r="C23" s="12">
        <f>'19_20 District Budget-4'!O52</f>
        <v>10444520</v>
      </c>
      <c r="D23" s="12">
        <f>'PCFP-All Expense AA-1 Modif-4'!J4</f>
        <v>0</v>
      </c>
      <c r="E23" s="487"/>
    </row>
    <row r="24" spans="1:7" hidden="1" x14ac:dyDescent="0.2">
      <c r="A24" s="2" t="s">
        <v>10</v>
      </c>
      <c r="B24" t="s">
        <v>136</v>
      </c>
      <c r="C24" s="12">
        <f>'19_20 District Budget-4'!O53</f>
        <v>0</v>
      </c>
      <c r="D24" s="12">
        <f>'PCFP-All Expense AA-1 Modif-4'!J5</f>
        <v>0</v>
      </c>
      <c r="E24" s="487"/>
    </row>
    <row r="25" spans="1:7" hidden="1" x14ac:dyDescent="0.2">
      <c r="A25" s="2">
        <v>270</v>
      </c>
      <c r="B25" t="s">
        <v>137</v>
      </c>
      <c r="C25" s="12">
        <f>'19_20 District Budget-4'!O54</f>
        <v>187292</v>
      </c>
      <c r="D25" s="12">
        <f>'PCFP-All Expense AA-1 Modif-4'!J6</f>
        <v>0</v>
      </c>
      <c r="E25" s="487"/>
    </row>
    <row r="26" spans="1:7" hidden="1" x14ac:dyDescent="0.2">
      <c r="A26" s="2" t="s">
        <v>10</v>
      </c>
      <c r="B26" t="s">
        <v>138</v>
      </c>
      <c r="C26" s="12">
        <f>'19_20 District Budget-4'!O55</f>
        <v>0</v>
      </c>
      <c r="D26" s="12">
        <f>'PCFP-All Expense AA-1 Modif-4'!J7</f>
        <v>0</v>
      </c>
      <c r="E26" s="487"/>
    </row>
    <row r="27" spans="1:7" hidden="1" x14ac:dyDescent="0.2">
      <c r="A27" s="2">
        <v>300</v>
      </c>
      <c r="B27" t="s">
        <v>139</v>
      </c>
      <c r="C27" s="12">
        <f>'19_20 District Budget-4'!O56</f>
        <v>1575944</v>
      </c>
      <c r="D27" s="12">
        <f>'PCFP-All Expense AA-1 Modif-4'!J8</f>
        <v>900977</v>
      </c>
      <c r="E27" s="487"/>
    </row>
    <row r="28" spans="1:7" hidden="1" x14ac:dyDescent="0.2">
      <c r="A28" s="2">
        <v>400</v>
      </c>
      <c r="B28" t="s">
        <v>140</v>
      </c>
      <c r="C28" s="12">
        <f>'19_20 District Budget-4'!O57</f>
        <v>2041077</v>
      </c>
      <c r="D28" s="12">
        <f>'PCFP-All Expense AA-1 Modif-4'!J9</f>
        <v>1798968</v>
      </c>
      <c r="E28" s="487"/>
    </row>
    <row r="29" spans="1:7" hidden="1" x14ac:dyDescent="0.2">
      <c r="A29" s="2" t="s">
        <v>10</v>
      </c>
      <c r="B29" t="s">
        <v>141</v>
      </c>
      <c r="C29" s="12">
        <f>'19_20 District Budget-4'!O58</f>
        <v>0</v>
      </c>
      <c r="D29" s="12">
        <f>'PCFP-All Expense AA-1 Modif-4'!J10</f>
        <v>0</v>
      </c>
      <c r="E29" s="487"/>
    </row>
    <row r="30" spans="1:7" hidden="1" x14ac:dyDescent="0.2">
      <c r="A30" s="2" t="s">
        <v>10</v>
      </c>
      <c r="B30" t="s">
        <v>142</v>
      </c>
      <c r="C30" s="12">
        <f>'19_20 District Budget-4'!O59</f>
        <v>0</v>
      </c>
      <c r="D30" s="12">
        <f>'PCFP-All Expense AA-1 Modif-4'!J11</f>
        <v>0</v>
      </c>
      <c r="E30" s="487"/>
    </row>
    <row r="31" spans="1:7" hidden="1" x14ac:dyDescent="0.2">
      <c r="A31" s="2">
        <v>430</v>
      </c>
      <c r="B31" s="3" t="s">
        <v>548</v>
      </c>
      <c r="C31" s="12">
        <f>'19_20 District Budget-4'!O60</f>
        <v>0</v>
      </c>
      <c r="D31" s="12">
        <f>'PCFP-All Expense AA-1 Modif-4'!J12</f>
        <v>0</v>
      </c>
      <c r="E31" s="487"/>
    </row>
    <row r="32" spans="1:7" hidden="1" x14ac:dyDescent="0.2">
      <c r="A32" s="2">
        <v>440</v>
      </c>
      <c r="B32" t="s">
        <v>143</v>
      </c>
      <c r="C32" s="12">
        <f>'19_20 District Budget-4'!O61</f>
        <v>65765</v>
      </c>
      <c r="D32" s="12">
        <f>'PCFP-All Expense AA-1 Modif-4'!J13</f>
        <v>65765</v>
      </c>
      <c r="E32" s="487"/>
    </row>
    <row r="33" spans="1:5" hidden="1" x14ac:dyDescent="0.2">
      <c r="A33" s="2">
        <v>500</v>
      </c>
      <c r="B33" t="s">
        <v>144</v>
      </c>
      <c r="C33" s="12">
        <f>'19_20 District Budget-4'!O62</f>
        <v>0</v>
      </c>
      <c r="D33" s="12">
        <f>'PCFP-All Expense AA-1 Modif-4'!J14</f>
        <v>0</v>
      </c>
      <c r="E33" s="487"/>
    </row>
    <row r="34" spans="1:5" hidden="1" x14ac:dyDescent="0.2">
      <c r="A34" s="2">
        <v>600</v>
      </c>
      <c r="B34" t="s">
        <v>145</v>
      </c>
      <c r="C34" s="12">
        <f>'19_20 District Budget-4'!O63</f>
        <v>85197</v>
      </c>
      <c r="D34" s="12">
        <f>'PCFP-All Expense AA-1 Modif-4'!J15</f>
        <v>0</v>
      </c>
      <c r="E34" s="487"/>
    </row>
    <row r="35" spans="1:5" hidden="1" x14ac:dyDescent="0.2">
      <c r="A35" s="2">
        <v>800</v>
      </c>
      <c r="B35" t="s">
        <v>146</v>
      </c>
      <c r="C35" s="12">
        <f>'19_20 District Budget-4'!O64</f>
        <v>18191</v>
      </c>
      <c r="D35" s="12">
        <f>'PCFP-All Expense AA-1 Modif-4'!J16</f>
        <v>0</v>
      </c>
      <c r="E35" s="487"/>
    </row>
    <row r="36" spans="1:5" hidden="1" x14ac:dyDescent="0.2">
      <c r="A36" s="2">
        <v>910</v>
      </c>
      <c r="B36" t="s">
        <v>147</v>
      </c>
      <c r="C36" s="12">
        <f>'19_20 District Budget-4'!O65</f>
        <v>171685</v>
      </c>
      <c r="D36" s="12">
        <f>'PCFP-All Expense AA-1 Modif-4'!J17</f>
        <v>171685</v>
      </c>
      <c r="E36" s="487"/>
    </row>
    <row r="37" spans="1:5" hidden="1" x14ac:dyDescent="0.2">
      <c r="A37" s="2">
        <v>920</v>
      </c>
      <c r="B37" t="s">
        <v>148</v>
      </c>
      <c r="C37" s="12">
        <f>'19_20 District Budget-4'!O66</f>
        <v>410365</v>
      </c>
      <c r="D37" s="12">
        <f>'PCFP-All Expense AA-1 Modif-4'!J18</f>
        <v>410365</v>
      </c>
      <c r="E37" s="487"/>
    </row>
    <row r="38" spans="1:5" x14ac:dyDescent="0.2">
      <c r="E38" s="487"/>
    </row>
    <row r="39" spans="1:5" x14ac:dyDescent="0.2">
      <c r="A39" s="2" t="s">
        <v>149</v>
      </c>
      <c r="B39" s="2" t="s">
        <v>150</v>
      </c>
      <c r="C39" s="12">
        <f>SUM(C40:C66)</f>
        <v>48124881</v>
      </c>
      <c r="D39" s="12">
        <f>SUM(D40:D66)</f>
        <v>38668160</v>
      </c>
      <c r="E39" s="487"/>
    </row>
    <row r="40" spans="1:5" hidden="1" x14ac:dyDescent="0.2">
      <c r="A40" s="2">
        <v>2100</v>
      </c>
      <c r="B40" t="s">
        <v>151</v>
      </c>
      <c r="C40" s="12">
        <f>'19_20 District Budget-4'!O69</f>
        <v>3209068</v>
      </c>
      <c r="D40" s="12">
        <f>'PCFP-All Expense AA-1 Modif-4'!J22</f>
        <v>2807009</v>
      </c>
      <c r="E40" s="487"/>
    </row>
    <row r="41" spans="1:5" hidden="1" x14ac:dyDescent="0.2">
      <c r="A41" s="2">
        <v>2200</v>
      </c>
      <c r="B41" t="s">
        <v>152</v>
      </c>
      <c r="C41" s="12">
        <f>'19_20 District Budget-4'!O70</f>
        <v>1998244</v>
      </c>
      <c r="D41" s="12">
        <f>'PCFP-All Expense AA-1 Modif-4'!J23</f>
        <v>1357104</v>
      </c>
      <c r="E41" s="487"/>
    </row>
    <row r="42" spans="1:5" hidden="1" x14ac:dyDescent="0.2">
      <c r="A42" s="2">
        <v>2300</v>
      </c>
      <c r="B42" t="s">
        <v>153</v>
      </c>
      <c r="C42" s="12">
        <f>'19_20 District Budget-4'!O71</f>
        <v>659841</v>
      </c>
      <c r="D42" s="12">
        <f>'PCFP-All Expense AA-1 Modif-4'!J24</f>
        <v>643982</v>
      </c>
      <c r="E42" s="487"/>
    </row>
    <row r="43" spans="1:5" hidden="1" x14ac:dyDescent="0.2">
      <c r="A43" s="2">
        <v>2400</v>
      </c>
      <c r="B43" t="s">
        <v>154</v>
      </c>
      <c r="C43" s="12">
        <f>'19_20 District Budget-4'!O72</f>
        <v>4810333</v>
      </c>
      <c r="D43" s="12">
        <f>'PCFP-All Expense AA-1 Modif-4'!J25</f>
        <v>4810333</v>
      </c>
      <c r="E43" s="487"/>
    </row>
    <row r="44" spans="1:5" hidden="1" x14ac:dyDescent="0.2">
      <c r="A44" s="2">
        <v>2500</v>
      </c>
      <c r="B44" t="s">
        <v>155</v>
      </c>
      <c r="C44" s="12">
        <f>'19_20 District Budget-4'!O73</f>
        <v>2066515</v>
      </c>
      <c r="D44" s="12">
        <f>'PCFP-All Expense AA-1 Modif-4'!J26</f>
        <v>2066515</v>
      </c>
      <c r="E44" s="487"/>
    </row>
    <row r="45" spans="1:5" hidden="1" x14ac:dyDescent="0.2">
      <c r="A45" s="2">
        <v>2600</v>
      </c>
      <c r="B45" t="s">
        <v>156</v>
      </c>
      <c r="C45" s="12">
        <f>'19_20 District Budget-4'!O74</f>
        <v>8663622</v>
      </c>
      <c r="D45" s="12">
        <f>'PCFP-All Expense AA-1 Modif-4'!J27</f>
        <v>8663622</v>
      </c>
      <c r="E45" s="487"/>
    </row>
    <row r="46" spans="1:5" hidden="1" x14ac:dyDescent="0.2">
      <c r="A46" s="2">
        <v>2700</v>
      </c>
      <c r="B46" t="s">
        <v>157</v>
      </c>
      <c r="C46" s="12">
        <f>'19_20 District Budget-4'!O75</f>
        <v>4206894</v>
      </c>
      <c r="D46" s="12">
        <f>'PCFP-All Expense AA-1 Modif-4'!J28</f>
        <v>4206894</v>
      </c>
      <c r="E46" s="487"/>
    </row>
    <row r="47" spans="1:5" hidden="1" x14ac:dyDescent="0.2">
      <c r="A47" s="2">
        <v>2900</v>
      </c>
      <c r="B47" t="s">
        <v>158</v>
      </c>
      <c r="C47" s="12">
        <f>'19_20 District Budget-4'!O76</f>
        <v>821593</v>
      </c>
      <c r="D47" s="12">
        <f>'PCFP-All Expense AA-1 Modif-4'!J29</f>
        <v>247150</v>
      </c>
      <c r="E47" s="487"/>
    </row>
    <row r="48" spans="1:5" hidden="1" x14ac:dyDescent="0.2">
      <c r="A48" s="2">
        <v>3000</v>
      </c>
      <c r="B48" t="s">
        <v>159</v>
      </c>
      <c r="C48" s="12">
        <f>'19_20 District Budget-4'!O77</f>
        <v>0</v>
      </c>
      <c r="D48" s="12">
        <f>'PCFP-All Expense AA-1 Modif-4'!J30</f>
        <v>0</v>
      </c>
      <c r="E48" s="487"/>
    </row>
    <row r="49" spans="1:5" hidden="1" x14ac:dyDescent="0.2">
      <c r="A49" s="2">
        <v>3100</v>
      </c>
      <c r="B49" t="s">
        <v>160</v>
      </c>
      <c r="C49" s="12">
        <f>'19_20 District Budget-4'!O78</f>
        <v>1661484</v>
      </c>
      <c r="D49" s="12">
        <f>'PCFP-All Expense AA-1 Modif-4'!J31</f>
        <v>0</v>
      </c>
      <c r="E49" s="487"/>
    </row>
    <row r="50" spans="1:5" hidden="1" x14ac:dyDescent="0.2">
      <c r="A50" s="2">
        <v>3200</v>
      </c>
      <c r="B50" t="s">
        <v>161</v>
      </c>
      <c r="C50" s="12">
        <f>'19_20 District Budget-4'!O79</f>
        <v>0</v>
      </c>
      <c r="D50" s="12">
        <f>'PCFP-All Expense AA-1 Modif-4'!J32</f>
        <v>0</v>
      </c>
      <c r="E50" s="487"/>
    </row>
    <row r="51" spans="1:5" hidden="1" x14ac:dyDescent="0.2">
      <c r="A51" s="2">
        <v>3300</v>
      </c>
      <c r="B51" t="s">
        <v>162</v>
      </c>
      <c r="C51" s="12">
        <f>'19_20 District Budget-4'!O80</f>
        <v>0</v>
      </c>
      <c r="D51" s="12">
        <f>'PCFP-All Expense AA-1 Modif-4'!J33</f>
        <v>0</v>
      </c>
      <c r="E51" s="487"/>
    </row>
    <row r="52" spans="1:5" hidden="1" x14ac:dyDescent="0.2">
      <c r="A52" s="2">
        <v>4000</v>
      </c>
      <c r="B52" t="s">
        <v>164</v>
      </c>
      <c r="C52" s="12">
        <f>'19_20 District Budget-4'!O81</f>
        <v>0</v>
      </c>
      <c r="D52" s="12">
        <f>'PCFP-All Expense AA-1 Modif-4'!J34</f>
        <v>0</v>
      </c>
      <c r="E52" s="487"/>
    </row>
    <row r="53" spans="1:5" hidden="1" x14ac:dyDescent="0.2">
      <c r="A53" s="2">
        <v>4100</v>
      </c>
      <c r="B53" t="s">
        <v>163</v>
      </c>
      <c r="C53" s="12">
        <f>'19_20 District Budget-4'!O82</f>
        <v>0</v>
      </c>
      <c r="D53" s="12">
        <f>'PCFP-All Expense AA-1 Modif-4'!J35</f>
        <v>0</v>
      </c>
      <c r="E53" s="487"/>
    </row>
    <row r="54" spans="1:5" hidden="1" x14ac:dyDescent="0.2">
      <c r="A54" s="2">
        <v>4200</v>
      </c>
      <c r="B54" t="s">
        <v>165</v>
      </c>
      <c r="C54" s="12">
        <f>'19_20 District Budget-4'!O83</f>
        <v>0</v>
      </c>
      <c r="D54" s="12">
        <f>'PCFP-All Expense AA-1 Modif-4'!J36</f>
        <v>0</v>
      </c>
      <c r="E54" s="487"/>
    </row>
    <row r="55" spans="1:5" hidden="1" x14ac:dyDescent="0.2">
      <c r="A55" s="2">
        <v>4300</v>
      </c>
      <c r="B55" t="s">
        <v>166</v>
      </c>
      <c r="C55" s="12">
        <f>'19_20 District Budget-4'!O84</f>
        <v>0</v>
      </c>
      <c r="D55" s="12">
        <f>'PCFP-All Expense AA-1 Modif-4'!J37</f>
        <v>0</v>
      </c>
      <c r="E55" s="487"/>
    </row>
    <row r="56" spans="1:5" hidden="1" x14ac:dyDescent="0.2">
      <c r="A56" s="2">
        <v>4400</v>
      </c>
      <c r="B56" t="s">
        <v>167</v>
      </c>
      <c r="C56" s="12">
        <f>'19_20 District Budget-4'!O85</f>
        <v>0</v>
      </c>
      <c r="D56" s="12">
        <f>'PCFP-All Expense AA-1 Modif-4'!J38</f>
        <v>0</v>
      </c>
      <c r="E56" s="487"/>
    </row>
    <row r="57" spans="1:5" hidden="1" x14ac:dyDescent="0.2">
      <c r="A57" s="2">
        <v>4500</v>
      </c>
      <c r="B57" t="s">
        <v>168</v>
      </c>
      <c r="C57" s="12">
        <f>'19_20 District Budget-4'!O86</f>
        <v>0</v>
      </c>
      <c r="D57" s="12">
        <f>'PCFP-All Expense AA-1 Modif-4'!J39</f>
        <v>0</v>
      </c>
      <c r="E57" s="487"/>
    </row>
    <row r="58" spans="1:5" hidden="1" x14ac:dyDescent="0.2">
      <c r="A58" s="2">
        <v>4600</v>
      </c>
      <c r="B58" t="s">
        <v>169</v>
      </c>
      <c r="C58" s="12">
        <f>'19_20 District Budget-4'!O87</f>
        <v>1961383</v>
      </c>
      <c r="D58" s="12">
        <f>'PCFP-All Expense AA-1 Modif-4'!J40</f>
        <v>10000</v>
      </c>
      <c r="E58" s="487"/>
    </row>
    <row r="59" spans="1:5" hidden="1" x14ac:dyDescent="0.2">
      <c r="A59" s="2">
        <v>4700</v>
      </c>
      <c r="B59" t="s">
        <v>170</v>
      </c>
      <c r="C59" s="12">
        <f>'19_20 District Budget-4'!O88</f>
        <v>3364989</v>
      </c>
      <c r="D59" s="12">
        <f>'PCFP-All Expense AA-1 Modif-4'!J41</f>
        <v>0</v>
      </c>
      <c r="E59" s="487"/>
    </row>
    <row r="60" spans="1:5" hidden="1" x14ac:dyDescent="0.2">
      <c r="A60" s="2">
        <v>4900</v>
      </c>
      <c r="B60" t="s">
        <v>171</v>
      </c>
      <c r="C60" s="12">
        <f>'19_20 District Budget-4'!O89</f>
        <v>790000</v>
      </c>
      <c r="D60" s="12">
        <f>'PCFP-All Expense AA-1 Modif-4'!J42</f>
        <v>0</v>
      </c>
      <c r="E60" s="487"/>
    </row>
    <row r="61" spans="1:5" hidden="1" x14ac:dyDescent="0.2">
      <c r="A61" s="2">
        <v>5000</v>
      </c>
      <c r="B61" t="s">
        <v>172</v>
      </c>
      <c r="C61" s="12">
        <f>'19_20 District Budget-4'!O90</f>
        <v>3464124</v>
      </c>
      <c r="D61" s="12">
        <f>'PCFP-All Expense AA-1 Modif-4'!J43</f>
        <v>0</v>
      </c>
      <c r="E61" s="487"/>
    </row>
    <row r="62" spans="1:5" hidden="1" x14ac:dyDescent="0.2">
      <c r="A62" s="2">
        <v>5000</v>
      </c>
      <c r="B62" t="s">
        <v>173</v>
      </c>
      <c r="C62" s="12">
        <f>'19_20 District Budget-4'!O91</f>
        <v>0</v>
      </c>
      <c r="D62" s="12">
        <f>'PCFP-All Expense AA-1 Modif-4'!J44</f>
        <v>6531953</v>
      </c>
      <c r="E62" s="487"/>
    </row>
    <row r="63" spans="1:5" hidden="1" x14ac:dyDescent="0.2">
      <c r="A63" s="2">
        <v>6100</v>
      </c>
      <c r="B63" t="s">
        <v>174</v>
      </c>
      <c r="C63" s="12">
        <f>'19_20 District Budget-4'!O92</f>
        <v>0</v>
      </c>
      <c r="D63" s="12">
        <f>'PCFP-All Expense AA-1 Modif-4'!J45</f>
        <v>0</v>
      </c>
      <c r="E63" s="487"/>
    </row>
    <row r="64" spans="1:5" hidden="1" x14ac:dyDescent="0.2">
      <c r="A64" s="2">
        <v>6200</v>
      </c>
      <c r="B64" t="s">
        <v>175</v>
      </c>
      <c r="C64" s="12">
        <f>'19_20 District Budget-4'!O93</f>
        <v>0</v>
      </c>
      <c r="D64" s="12">
        <f>'PCFP-All Expense AA-1 Modif-4'!J46</f>
        <v>7323598</v>
      </c>
      <c r="E64" s="487"/>
    </row>
    <row r="65" spans="1:5" hidden="1" x14ac:dyDescent="0.2">
      <c r="A65" s="2">
        <v>6300</v>
      </c>
      <c r="B65" t="s">
        <v>176</v>
      </c>
      <c r="C65" s="12">
        <f>'19_20 District Budget-4'!O94</f>
        <v>638941</v>
      </c>
      <c r="D65" s="12">
        <f>'PCFP-All Expense AA-1 Modif-4'!J47</f>
        <v>0</v>
      </c>
      <c r="E65" s="487"/>
    </row>
    <row r="66" spans="1:5" hidden="1" x14ac:dyDescent="0.2">
      <c r="A66" s="2">
        <v>8000</v>
      </c>
      <c r="B66" t="s">
        <v>177</v>
      </c>
      <c r="C66" s="12">
        <f>'19_20 District Budget-4'!O95</f>
        <v>9807850</v>
      </c>
      <c r="D66" s="12">
        <f>'PCFP-All Expense AA-1 Modif-4'!J48</f>
        <v>0</v>
      </c>
      <c r="E66" s="487"/>
    </row>
    <row r="67" spans="1:5" x14ac:dyDescent="0.2">
      <c r="E67" s="487"/>
    </row>
    <row r="68" spans="1:5" s="2" customFormat="1" x14ac:dyDescent="0.2">
      <c r="A68" s="53"/>
      <c r="B68" s="2" t="s">
        <v>308</v>
      </c>
      <c r="C68" s="19">
        <f>SUM(C69:C158)</f>
        <v>11262256</v>
      </c>
      <c r="D68" s="19">
        <f>SUM(D69:D158)</f>
        <v>35354418</v>
      </c>
      <c r="E68" s="487"/>
    </row>
    <row r="69" spans="1:5" hidden="1" x14ac:dyDescent="0.2">
      <c r="B69" t="s">
        <v>179</v>
      </c>
      <c r="C69" s="12">
        <f>'19_20 District Budget-4'!O98</f>
        <v>0</v>
      </c>
      <c r="D69" s="12">
        <f>'PCFP-All Expense AA-1 Modif-4'!J57</f>
        <v>0</v>
      </c>
      <c r="E69" s="487"/>
    </row>
    <row r="70" spans="1:5" hidden="1" x14ac:dyDescent="0.2">
      <c r="B70" t="s">
        <v>145</v>
      </c>
      <c r="C70" s="12">
        <f>'19_20 District Budget-4'!O99</f>
        <v>0</v>
      </c>
      <c r="D70" s="12">
        <f>'PCFP-All Expense AA-1 Modif-4'!J58</f>
        <v>85197</v>
      </c>
      <c r="E70" s="487"/>
    </row>
    <row r="71" spans="1:5" hidden="1" x14ac:dyDescent="0.2">
      <c r="B71" t="s">
        <v>180</v>
      </c>
      <c r="C71" s="12">
        <f>'19_20 District Budget-4'!O100</f>
        <v>0</v>
      </c>
      <c r="D71" s="12">
        <f>'PCFP-All Expense AA-1 Modif-4'!J59</f>
        <v>0</v>
      </c>
      <c r="E71" s="487"/>
    </row>
    <row r="72" spans="1:5" hidden="1" x14ac:dyDescent="0.2">
      <c r="B72" t="s">
        <v>181</v>
      </c>
      <c r="C72" s="12">
        <f>'19_20 District Budget-4'!O101</f>
        <v>0</v>
      </c>
      <c r="D72" s="12">
        <f>'PCFP-All Expense AA-1 Modif-4'!J60</f>
        <v>0</v>
      </c>
      <c r="E72" s="487"/>
    </row>
    <row r="73" spans="1:5" hidden="1" x14ac:dyDescent="0.2">
      <c r="B73" t="s">
        <v>182</v>
      </c>
      <c r="C73" s="12">
        <f>'19_20 District Budget-4'!O102</f>
        <v>3067829</v>
      </c>
      <c r="D73" s="12">
        <f>'PCFP-All Expense AA-1 Modif-4'!J61</f>
        <v>0</v>
      </c>
      <c r="E73" s="487"/>
    </row>
    <row r="74" spans="1:5" hidden="1" x14ac:dyDescent="0.2">
      <c r="B74" t="s">
        <v>183</v>
      </c>
      <c r="C74" s="12">
        <f>'19_20 District Budget-4'!O103</f>
        <v>0</v>
      </c>
      <c r="D74" s="12">
        <f>'PCFP-All Expense AA-1 Modif-4'!J62</f>
        <v>0</v>
      </c>
      <c r="E74" s="487"/>
    </row>
    <row r="75" spans="1:5" hidden="1" x14ac:dyDescent="0.2">
      <c r="B75" t="s">
        <v>184</v>
      </c>
      <c r="C75" s="12">
        <f>'19_20 District Budget-4'!O104</f>
        <v>0</v>
      </c>
      <c r="D75" s="12">
        <f>'PCFP-All Expense AA-1 Modif-4'!J63</f>
        <v>0</v>
      </c>
      <c r="E75" s="487"/>
    </row>
    <row r="76" spans="1:5" hidden="1" x14ac:dyDescent="0.2">
      <c r="B76" t="s">
        <v>185</v>
      </c>
      <c r="C76" s="12">
        <f>'19_20 District Budget-4'!O105</f>
        <v>0</v>
      </c>
      <c r="D76" s="12">
        <f>'PCFP-All Expense AA-1 Modif-4'!J64</f>
        <v>3722984</v>
      </c>
      <c r="E76" s="487"/>
    </row>
    <row r="77" spans="1:5" hidden="1" x14ac:dyDescent="0.2">
      <c r="B77" t="s">
        <v>186</v>
      </c>
      <c r="C77" s="12">
        <f>'19_20 District Budget-4'!O106</f>
        <v>0</v>
      </c>
      <c r="D77" s="12">
        <f>'PCFP-All Expense AA-1 Modif-4'!J65</f>
        <v>0</v>
      </c>
      <c r="E77" s="487"/>
    </row>
    <row r="78" spans="1:5" hidden="1" x14ac:dyDescent="0.2">
      <c r="B78" t="s">
        <v>187</v>
      </c>
      <c r="C78" s="12">
        <f>'19_20 District Budget-4'!O107</f>
        <v>0</v>
      </c>
      <c r="D78" s="12">
        <f>'PCFP-All Expense AA-1 Modif-4'!J66</f>
        <v>0</v>
      </c>
      <c r="E78" s="487"/>
    </row>
    <row r="79" spans="1:5" hidden="1" x14ac:dyDescent="0.2">
      <c r="B79" t="s">
        <v>188</v>
      </c>
      <c r="C79" s="12">
        <f>'19_20 District Budget-4'!O108</f>
        <v>-100000</v>
      </c>
      <c r="D79" s="12">
        <f>'PCFP-All Expense AA-1 Modif-4'!J67</f>
        <v>4868323</v>
      </c>
      <c r="E79" s="487"/>
    </row>
    <row r="80" spans="1:5" hidden="1" x14ac:dyDescent="0.2">
      <c r="B80" t="s">
        <v>189</v>
      </c>
      <c r="C80" s="12">
        <f>'19_20 District Budget-4'!O109</f>
        <v>0</v>
      </c>
      <c r="D80" s="12">
        <f>'PCFP-All Expense AA-1 Modif-4'!J68</f>
        <v>0</v>
      </c>
      <c r="E80" s="487"/>
    </row>
    <row r="81" spans="2:5" hidden="1" x14ac:dyDescent="0.2">
      <c r="B81" t="s">
        <v>190</v>
      </c>
      <c r="C81" s="12">
        <f>'19_20 District Budget-4'!O110</f>
        <v>0</v>
      </c>
      <c r="D81" s="12">
        <f>'PCFP-All Expense AA-1 Modif-4'!J69</f>
        <v>0</v>
      </c>
      <c r="E81" s="487"/>
    </row>
    <row r="82" spans="2:5" hidden="1" x14ac:dyDescent="0.2">
      <c r="B82" t="s">
        <v>191</v>
      </c>
      <c r="C82" s="12">
        <f>'19_20 District Budget-4'!O111</f>
        <v>0</v>
      </c>
      <c r="D82" s="12">
        <f>'PCFP-All Expense AA-1 Modif-4'!J70</f>
        <v>1504253</v>
      </c>
      <c r="E82" s="487"/>
    </row>
    <row r="83" spans="2:5" hidden="1" x14ac:dyDescent="0.2">
      <c r="B83" t="s">
        <v>192</v>
      </c>
      <c r="C83" s="12">
        <f>'19_20 District Budget-4'!O112</f>
        <v>0</v>
      </c>
      <c r="D83" s="12">
        <f>'PCFP-All Expense AA-1 Modif-4'!J71</f>
        <v>0</v>
      </c>
      <c r="E83" s="487"/>
    </row>
    <row r="84" spans="2:5" hidden="1" x14ac:dyDescent="0.2">
      <c r="B84" t="s">
        <v>193</v>
      </c>
      <c r="C84" s="12">
        <f>'19_20 District Budget-4'!O113</f>
        <v>0</v>
      </c>
      <c r="D84" s="12">
        <f>'PCFP-All Expense AA-1 Modif-4'!J72</f>
        <v>0</v>
      </c>
      <c r="E84" s="487"/>
    </row>
    <row r="85" spans="2:5" hidden="1" x14ac:dyDescent="0.2">
      <c r="B85" t="s">
        <v>194</v>
      </c>
      <c r="C85" s="12">
        <f>'19_20 District Budget-4'!O114</f>
        <v>0</v>
      </c>
      <c r="D85" s="12">
        <f>'PCFP-All Expense AA-1 Modif-4'!J73</f>
        <v>0</v>
      </c>
      <c r="E85" s="487"/>
    </row>
    <row r="86" spans="2:5" hidden="1" x14ac:dyDescent="0.2">
      <c r="B86" t="s">
        <v>195</v>
      </c>
      <c r="C86" s="12">
        <f>'19_20 District Budget-4'!O115</f>
        <v>0</v>
      </c>
      <c r="D86" s="12">
        <f>'PCFP-All Expense AA-1 Modif-4'!J74</f>
        <v>0</v>
      </c>
      <c r="E86" s="487"/>
    </row>
    <row r="87" spans="2:5" hidden="1" x14ac:dyDescent="0.2">
      <c r="B87" t="s">
        <v>196</v>
      </c>
      <c r="C87" s="12">
        <f>'19_20 District Budget-4'!O116</f>
        <v>0</v>
      </c>
      <c r="D87" s="12">
        <f>'PCFP-All Expense AA-1 Modif-4'!J75</f>
        <v>0</v>
      </c>
      <c r="E87" s="487"/>
    </row>
    <row r="88" spans="2:5" hidden="1" x14ac:dyDescent="0.2">
      <c r="B88" t="s">
        <v>197</v>
      </c>
      <c r="C88" s="12">
        <f>'19_20 District Budget-4'!O117</f>
        <v>0</v>
      </c>
      <c r="D88" s="12">
        <f>'PCFP-All Expense AA-1 Modif-4'!J76</f>
        <v>0</v>
      </c>
      <c r="E88" s="487"/>
    </row>
    <row r="89" spans="2:5" hidden="1" x14ac:dyDescent="0.2">
      <c r="B89" t="s">
        <v>198</v>
      </c>
      <c r="C89" s="12">
        <f>'19_20 District Budget-4'!O118</f>
        <v>0</v>
      </c>
      <c r="D89" s="12">
        <f>'PCFP-All Expense AA-1 Modif-4'!J77</f>
        <v>0</v>
      </c>
      <c r="E89" s="487"/>
    </row>
    <row r="90" spans="2:5" hidden="1" x14ac:dyDescent="0.2">
      <c r="B90" t="s">
        <v>199</v>
      </c>
      <c r="C90" s="12">
        <f>'19_20 District Budget-4'!O119</f>
        <v>0</v>
      </c>
      <c r="D90" s="12">
        <f>'PCFP-All Expense AA-1 Modif-4'!J78</f>
        <v>0</v>
      </c>
      <c r="E90" s="487"/>
    </row>
    <row r="91" spans="2:5" hidden="1" x14ac:dyDescent="0.2">
      <c r="B91" t="s">
        <v>200</v>
      </c>
      <c r="C91" s="12">
        <f>'19_20 District Budget-4'!O120</f>
        <v>0</v>
      </c>
      <c r="D91" s="12">
        <f>'PCFP-All Expense AA-1 Modif-4'!J79</f>
        <v>0</v>
      </c>
      <c r="E91" s="487"/>
    </row>
    <row r="92" spans="2:5" hidden="1" x14ac:dyDescent="0.2">
      <c r="B92" t="s">
        <v>201</v>
      </c>
      <c r="C92" s="12">
        <f>'19_20 District Budget-4'!O121</f>
        <v>0</v>
      </c>
      <c r="D92" s="12">
        <f>'PCFP-All Expense AA-1 Modif-4'!J80</f>
        <v>0</v>
      </c>
      <c r="E92" s="487"/>
    </row>
    <row r="93" spans="2:5" hidden="1" x14ac:dyDescent="0.2">
      <c r="B93" t="s">
        <v>202</v>
      </c>
      <c r="C93" s="12">
        <f>'19_20 District Budget-4'!O122</f>
        <v>0</v>
      </c>
      <c r="D93" s="12">
        <f>'PCFP-All Expense AA-1 Modif-4'!J81</f>
        <v>0</v>
      </c>
      <c r="E93" s="487"/>
    </row>
    <row r="94" spans="2:5" hidden="1" x14ac:dyDescent="0.2">
      <c r="B94" t="s">
        <v>203</v>
      </c>
      <c r="C94" s="12">
        <f>'19_20 District Budget-4'!O123</f>
        <v>0</v>
      </c>
      <c r="D94" s="12">
        <f>'PCFP-All Expense AA-1 Modif-4'!J82</f>
        <v>0</v>
      </c>
      <c r="E94" s="487"/>
    </row>
    <row r="95" spans="2:5" hidden="1" x14ac:dyDescent="0.2">
      <c r="B95" t="s">
        <v>204</v>
      </c>
      <c r="C95" s="12">
        <f>'19_20 District Budget-4'!O124</f>
        <v>0</v>
      </c>
      <c r="D95" s="12">
        <f>'PCFP-All Expense AA-1 Modif-4'!J83</f>
        <v>3195193</v>
      </c>
      <c r="E95" s="487"/>
    </row>
    <row r="96" spans="2:5" hidden="1" x14ac:dyDescent="0.2">
      <c r="B96" t="s">
        <v>205</v>
      </c>
      <c r="C96" s="12">
        <f>'19_20 District Budget-4'!O125</f>
        <v>0</v>
      </c>
      <c r="D96" s="12">
        <f>'PCFP-All Expense AA-1 Modif-4'!J84</f>
        <v>0</v>
      </c>
      <c r="E96" s="487"/>
    </row>
    <row r="97" spans="2:5" hidden="1" x14ac:dyDescent="0.2">
      <c r="B97" t="s">
        <v>206</v>
      </c>
      <c r="C97" s="12">
        <f>'19_20 District Budget-4'!O126</f>
        <v>0</v>
      </c>
      <c r="D97" s="12">
        <f>'PCFP-All Expense AA-1 Modif-4'!J85</f>
        <v>1948249</v>
      </c>
      <c r="E97" s="487"/>
    </row>
    <row r="98" spans="2:5" hidden="1" x14ac:dyDescent="0.2">
      <c r="B98" t="s">
        <v>207</v>
      </c>
      <c r="C98" s="12">
        <f>'19_20 District Budget-4'!O127</f>
        <v>0</v>
      </c>
      <c r="D98" s="12">
        <f>'PCFP-All Expense AA-1 Modif-4'!J86</f>
        <v>0</v>
      </c>
      <c r="E98" s="487"/>
    </row>
    <row r="99" spans="2:5" hidden="1" x14ac:dyDescent="0.2">
      <c r="B99" t="s">
        <v>208</v>
      </c>
      <c r="C99" s="12">
        <f>'19_20 District Budget-4'!O128</f>
        <v>0</v>
      </c>
      <c r="D99" s="12">
        <f>'PCFP-All Expense AA-1 Modif-4'!J87</f>
        <v>0</v>
      </c>
      <c r="E99" s="487"/>
    </row>
    <row r="100" spans="2:5" hidden="1" x14ac:dyDescent="0.2">
      <c r="B100" t="s">
        <v>209</v>
      </c>
      <c r="C100" s="12">
        <f>'19_20 District Budget-4'!O129</f>
        <v>0</v>
      </c>
      <c r="D100" s="12">
        <f>'PCFP-All Expense AA-1 Modif-4'!J88</f>
        <v>0</v>
      </c>
      <c r="E100" s="487"/>
    </row>
    <row r="101" spans="2:5" hidden="1" x14ac:dyDescent="0.2">
      <c r="B101" t="s">
        <v>210</v>
      </c>
      <c r="C101" s="12">
        <f>'19_20 District Budget-4'!O130</f>
        <v>0</v>
      </c>
      <c r="D101" s="12">
        <f>'PCFP-All Expense AA-1 Modif-4'!J89</f>
        <v>0</v>
      </c>
      <c r="E101" s="487"/>
    </row>
    <row r="102" spans="2:5" hidden="1" x14ac:dyDescent="0.2">
      <c r="B102" t="s">
        <v>211</v>
      </c>
      <c r="C102" s="12">
        <f>'19_20 District Budget-4'!O131</f>
        <v>0</v>
      </c>
      <c r="D102" s="12">
        <f>'PCFP-All Expense AA-1 Modif-4'!J90</f>
        <v>0</v>
      </c>
      <c r="E102" s="487"/>
    </row>
    <row r="103" spans="2:5" hidden="1" x14ac:dyDescent="0.2">
      <c r="B103" t="s">
        <v>212</v>
      </c>
      <c r="C103" s="12">
        <f>'19_20 District Budget-4'!O132</f>
        <v>0</v>
      </c>
      <c r="D103" s="12">
        <f>'PCFP-All Expense AA-1 Modif-4'!J91</f>
        <v>0</v>
      </c>
      <c r="E103" s="487"/>
    </row>
    <row r="104" spans="2:5" hidden="1" x14ac:dyDescent="0.2">
      <c r="B104" t="s">
        <v>213</v>
      </c>
      <c r="C104" s="12">
        <f>'19_20 District Budget-4'!O133</f>
        <v>0</v>
      </c>
      <c r="D104" s="12">
        <f>'PCFP-All Expense AA-1 Modif-4'!J92</f>
        <v>0</v>
      </c>
      <c r="E104" s="487"/>
    </row>
    <row r="105" spans="2:5" hidden="1" x14ac:dyDescent="0.2">
      <c r="B105" t="s">
        <v>214</v>
      </c>
      <c r="C105" s="12">
        <f>'19_20 District Budget-4'!O134</f>
        <v>0</v>
      </c>
      <c r="D105" s="12">
        <f>'PCFP-All Expense AA-1 Modif-4'!J93</f>
        <v>979963</v>
      </c>
      <c r="E105" s="487"/>
    </row>
    <row r="106" spans="2:5" hidden="1" x14ac:dyDescent="0.2">
      <c r="B106" t="s">
        <v>215</v>
      </c>
      <c r="C106" s="12">
        <f>'19_20 District Budget-4'!O135</f>
        <v>0</v>
      </c>
      <c r="D106" s="12">
        <f>'PCFP-All Expense AA-1 Modif-4'!J94</f>
        <v>0</v>
      </c>
      <c r="E106" s="487"/>
    </row>
    <row r="107" spans="2:5" hidden="1" x14ac:dyDescent="0.2">
      <c r="B107" t="s">
        <v>216</v>
      </c>
      <c r="C107" s="12">
        <f>'19_20 District Budget-4'!O136</f>
        <v>0</v>
      </c>
      <c r="D107" s="12">
        <f>'PCFP-All Expense AA-1 Modif-4'!J95</f>
        <v>0</v>
      </c>
      <c r="E107" s="487"/>
    </row>
    <row r="108" spans="2:5" hidden="1" x14ac:dyDescent="0.2">
      <c r="B108" t="s">
        <v>217</v>
      </c>
      <c r="C108" s="12">
        <f>'19_20 District Budget-4'!O137</f>
        <v>0</v>
      </c>
      <c r="D108" s="12">
        <f>'PCFP-All Expense AA-1 Modif-4'!J96</f>
        <v>315600</v>
      </c>
      <c r="E108" s="487"/>
    </row>
    <row r="109" spans="2:5" hidden="1" x14ac:dyDescent="0.2">
      <c r="B109" t="s">
        <v>218</v>
      </c>
      <c r="C109" s="12">
        <f>'19_20 District Budget-4'!O138</f>
        <v>0</v>
      </c>
      <c r="D109" s="12">
        <f>'PCFP-All Expense AA-1 Modif-4'!J97</f>
        <v>0</v>
      </c>
      <c r="E109" s="487"/>
    </row>
    <row r="110" spans="2:5" hidden="1" x14ac:dyDescent="0.2">
      <c r="B110" t="s">
        <v>219</v>
      </c>
      <c r="C110" s="12">
        <f>'19_20 District Budget-4'!O139</f>
        <v>0</v>
      </c>
      <c r="D110" s="12">
        <f>'PCFP-All Expense AA-1 Modif-4'!J98</f>
        <v>0</v>
      </c>
      <c r="E110" s="487"/>
    </row>
    <row r="111" spans="2:5" hidden="1" x14ac:dyDescent="0.2">
      <c r="B111" t="s">
        <v>220</v>
      </c>
      <c r="C111" s="12">
        <f>'19_20 District Budget-4'!O140</f>
        <v>0</v>
      </c>
      <c r="D111" s="12">
        <f>'PCFP-All Expense AA-1 Modif-4'!J99</f>
        <v>0</v>
      </c>
      <c r="E111" s="487"/>
    </row>
    <row r="112" spans="2:5" hidden="1" x14ac:dyDescent="0.2">
      <c r="B112" t="s">
        <v>221</v>
      </c>
      <c r="C112" s="12">
        <f>'19_20 District Budget-4'!O141</f>
        <v>0</v>
      </c>
      <c r="D112" s="12">
        <f>'PCFP-All Expense AA-1 Modif-4'!J100</f>
        <v>0</v>
      </c>
      <c r="E112" s="487"/>
    </row>
    <row r="113" spans="1:5" hidden="1" x14ac:dyDescent="0.2">
      <c r="A113" s="2" t="s">
        <v>10</v>
      </c>
      <c r="B113" t="s">
        <v>142</v>
      </c>
      <c r="C113" s="12">
        <f>'19_20 District Budget-4'!O142</f>
        <v>0</v>
      </c>
      <c r="D113" s="12">
        <f>'PCFP-All Expense AA-1 Modif-4'!J101</f>
        <v>0</v>
      </c>
      <c r="E113" s="487"/>
    </row>
    <row r="114" spans="1:5" hidden="1" x14ac:dyDescent="0.2">
      <c r="A114" s="2" t="s">
        <v>10</v>
      </c>
      <c r="B114" t="s">
        <v>141</v>
      </c>
      <c r="C114" s="12">
        <f>'19_20 District Budget-4'!O143</f>
        <v>0</v>
      </c>
      <c r="D114" s="12">
        <f>'PCFP-All Expense AA-1 Modif-4'!J102</f>
        <v>0</v>
      </c>
      <c r="E114" s="487"/>
    </row>
    <row r="115" spans="1:5" hidden="1" x14ac:dyDescent="0.2">
      <c r="A115" s="2" t="s">
        <v>33</v>
      </c>
      <c r="B115" t="s">
        <v>222</v>
      </c>
      <c r="C115" s="12">
        <f>'19_20 District Budget-4'!O144</f>
        <v>0</v>
      </c>
      <c r="D115" s="12">
        <f>'PCFP-All Expense AA-1 Modif-4'!J103</f>
        <v>4400</v>
      </c>
      <c r="E115" s="487"/>
    </row>
    <row r="116" spans="1:5" hidden="1" x14ac:dyDescent="0.2">
      <c r="A116" s="2" t="s">
        <v>10</v>
      </c>
      <c r="B116" t="s">
        <v>138</v>
      </c>
      <c r="C116" s="12">
        <f>'19_20 District Budget-4'!O145</f>
        <v>0</v>
      </c>
      <c r="D116" s="12">
        <f>'PCFP-All Expense AA-1 Modif-4'!J104</f>
        <v>0</v>
      </c>
      <c r="E116" s="487"/>
    </row>
    <row r="117" spans="1:5" hidden="1" x14ac:dyDescent="0.2">
      <c r="A117" s="2" t="s">
        <v>10</v>
      </c>
      <c r="B117" t="s">
        <v>136</v>
      </c>
      <c r="C117" s="12">
        <f>'19_20 District Budget-4'!O146</f>
        <v>0</v>
      </c>
      <c r="D117" s="12">
        <f>'PCFP-All Expense AA-1 Modif-4'!J105</f>
        <v>0</v>
      </c>
      <c r="E117" s="487"/>
    </row>
    <row r="118" spans="1:5" hidden="1" x14ac:dyDescent="0.2">
      <c r="B118" t="s">
        <v>223</v>
      </c>
      <c r="C118" s="12">
        <f>'19_20 District Budget-4'!O147</f>
        <v>0</v>
      </c>
      <c r="D118" s="12">
        <f>'PCFP-All Expense AA-1 Modif-4'!J106</f>
        <v>0</v>
      </c>
      <c r="E118" s="487"/>
    </row>
    <row r="119" spans="1:5" hidden="1" x14ac:dyDescent="0.2">
      <c r="B119" t="s">
        <v>224</v>
      </c>
      <c r="C119" s="12">
        <f>'19_20 District Budget-4'!O148</f>
        <v>0</v>
      </c>
      <c r="D119" s="12">
        <f>'PCFP-All Expense AA-1 Modif-4'!J107</f>
        <v>0</v>
      </c>
      <c r="E119" s="487"/>
    </row>
    <row r="120" spans="1:5" hidden="1" x14ac:dyDescent="0.2">
      <c r="B120" t="s">
        <v>225</v>
      </c>
      <c r="C120" s="12">
        <f>'19_20 District Budget-4'!O149</f>
        <v>0</v>
      </c>
      <c r="D120" s="12">
        <f>'PCFP-All Expense AA-1 Modif-4'!J108</f>
        <v>0</v>
      </c>
      <c r="E120" s="487"/>
    </row>
    <row r="121" spans="1:5" hidden="1" x14ac:dyDescent="0.2">
      <c r="B121" t="s">
        <v>226</v>
      </c>
      <c r="C121" s="12">
        <f>'19_20 District Budget-4'!O150</f>
        <v>0</v>
      </c>
      <c r="D121" s="12">
        <f>'PCFP-All Expense AA-1 Modif-4'!J109</f>
        <v>0</v>
      </c>
      <c r="E121" s="487"/>
    </row>
    <row r="122" spans="1:5" hidden="1" x14ac:dyDescent="0.2">
      <c r="B122" t="s">
        <v>227</v>
      </c>
      <c r="C122" s="12">
        <f>'19_20 District Budget-4'!O151</f>
        <v>0</v>
      </c>
      <c r="D122" s="12">
        <f>'PCFP-All Expense AA-1 Modif-4'!J110</f>
        <v>400096</v>
      </c>
      <c r="E122" s="487"/>
    </row>
    <row r="123" spans="1:5" hidden="1" x14ac:dyDescent="0.2">
      <c r="B123" t="s">
        <v>228</v>
      </c>
      <c r="C123" s="12">
        <f>'19_20 District Budget-4'!O152</f>
        <v>0</v>
      </c>
      <c r="D123" s="12">
        <f>'PCFP-All Expense AA-1 Modif-4'!J111</f>
        <v>0</v>
      </c>
      <c r="E123" s="487"/>
    </row>
    <row r="124" spans="1:5" hidden="1" x14ac:dyDescent="0.2">
      <c r="B124" t="s">
        <v>229</v>
      </c>
      <c r="C124" s="12">
        <f>'19_20 District Budget-4'!O153</f>
        <v>0</v>
      </c>
      <c r="D124" s="12">
        <f>'PCFP-All Expense AA-1 Modif-4'!J112</f>
        <v>0</v>
      </c>
      <c r="E124" s="487"/>
    </row>
    <row r="125" spans="1:5" hidden="1" x14ac:dyDescent="0.2">
      <c r="B125" t="s">
        <v>230</v>
      </c>
      <c r="C125" s="12">
        <f>'19_20 District Budget-4'!O154</f>
        <v>0</v>
      </c>
      <c r="D125" s="12">
        <f>'PCFP-All Expense AA-1 Modif-4'!J113</f>
        <v>0</v>
      </c>
      <c r="E125" s="487"/>
    </row>
    <row r="126" spans="1:5" hidden="1" x14ac:dyDescent="0.2">
      <c r="B126" t="s">
        <v>231</v>
      </c>
      <c r="C126" s="12">
        <f>'19_20 District Budget-4'!O155</f>
        <v>0</v>
      </c>
      <c r="D126" s="12">
        <f>'PCFP-All Expense AA-1 Modif-4'!J114</f>
        <v>5000</v>
      </c>
      <c r="E126" s="487"/>
    </row>
    <row r="127" spans="1:5" hidden="1" x14ac:dyDescent="0.2">
      <c r="B127" t="s">
        <v>232</v>
      </c>
      <c r="C127" s="12">
        <f>'19_20 District Budget-4'!O156</f>
        <v>0</v>
      </c>
      <c r="D127" s="12">
        <f>'PCFP-All Expense AA-1 Modif-4'!J115</f>
        <v>0</v>
      </c>
      <c r="E127" s="487"/>
    </row>
    <row r="128" spans="1:5" hidden="1" x14ac:dyDescent="0.2">
      <c r="B128" t="s">
        <v>233</v>
      </c>
      <c r="C128" s="12">
        <f>'19_20 District Budget-4'!O157</f>
        <v>0</v>
      </c>
      <c r="D128" s="12">
        <f>'PCFP-All Expense AA-1 Modif-4'!J116</f>
        <v>0</v>
      </c>
      <c r="E128" s="487"/>
    </row>
    <row r="129" spans="2:5" hidden="1" x14ac:dyDescent="0.2">
      <c r="B129" t="s">
        <v>234</v>
      </c>
      <c r="C129" s="12">
        <f>'19_20 District Budget-4'!O158</f>
        <v>0</v>
      </c>
      <c r="D129" s="12">
        <f>'PCFP-All Expense AA-1 Modif-4'!J117</f>
        <v>0</v>
      </c>
      <c r="E129" s="487"/>
    </row>
    <row r="130" spans="2:5" hidden="1" x14ac:dyDescent="0.2">
      <c r="B130" t="s">
        <v>9</v>
      </c>
      <c r="C130" s="12">
        <f>'19_20 District Budget-4'!O159</f>
        <v>0</v>
      </c>
      <c r="D130" s="12">
        <f>'PCFP-All Expense AA-1 Modif-4'!J118</f>
        <v>8984134</v>
      </c>
      <c r="E130" s="487"/>
    </row>
    <row r="131" spans="2:5" hidden="1" x14ac:dyDescent="0.2">
      <c r="B131" s="3" t="s">
        <v>581</v>
      </c>
      <c r="C131" s="12">
        <f>'19_20 District Budget-4'!O160</f>
        <v>7851030</v>
      </c>
      <c r="D131" s="12">
        <f>'PCFP-All Expense AA-1 Modif-4'!J119</f>
        <v>0</v>
      </c>
      <c r="E131" s="487"/>
    </row>
    <row r="132" spans="2:5" hidden="1" x14ac:dyDescent="0.2">
      <c r="B132" s="3" t="s">
        <v>235</v>
      </c>
      <c r="C132" s="12">
        <f>'19_20 District Budget-4'!O161</f>
        <v>0</v>
      </c>
      <c r="D132" s="12">
        <f>'PCFP-All Expense AA-1 Modif-4'!J120</f>
        <v>0</v>
      </c>
      <c r="E132" s="487"/>
    </row>
    <row r="133" spans="2:5" hidden="1" x14ac:dyDescent="0.2">
      <c r="B133" t="s">
        <v>236</v>
      </c>
      <c r="C133" s="12">
        <f>'19_20 District Budget-4'!O162</f>
        <v>0</v>
      </c>
      <c r="D133" s="12">
        <f>'PCFP-All Expense AA-1 Modif-4'!J121</f>
        <v>2397090</v>
      </c>
      <c r="E133" s="487"/>
    </row>
    <row r="134" spans="2:5" hidden="1" x14ac:dyDescent="0.2">
      <c r="B134" t="s">
        <v>237</v>
      </c>
      <c r="C134" s="12">
        <f>'19_20 District Budget-4'!O163</f>
        <v>0</v>
      </c>
      <c r="D134" s="12">
        <f>'PCFP-All Expense AA-1 Modif-4'!J122</f>
        <v>0</v>
      </c>
      <c r="E134" s="487"/>
    </row>
    <row r="135" spans="2:5" hidden="1" x14ac:dyDescent="0.2">
      <c r="B135" t="s">
        <v>238</v>
      </c>
      <c r="C135" s="12">
        <f>'19_20 District Budget-4'!O164</f>
        <v>0</v>
      </c>
      <c r="D135" s="12">
        <f>'PCFP-All Expense AA-1 Modif-4'!J123</f>
        <v>0</v>
      </c>
      <c r="E135" s="487"/>
    </row>
    <row r="136" spans="2:5" hidden="1" x14ac:dyDescent="0.2">
      <c r="B136" t="s">
        <v>239</v>
      </c>
      <c r="C136" s="12">
        <f>'19_20 District Budget-4'!O165</f>
        <v>0</v>
      </c>
      <c r="D136" s="12">
        <f>'PCFP-All Expense AA-1 Modif-4'!J124</f>
        <v>0</v>
      </c>
      <c r="E136" s="487"/>
    </row>
    <row r="137" spans="2:5" hidden="1" x14ac:dyDescent="0.2">
      <c r="B137" t="s">
        <v>240</v>
      </c>
      <c r="C137" s="12">
        <f>'19_20 District Budget-4'!O166</f>
        <v>0</v>
      </c>
      <c r="D137" s="12">
        <f>'PCFP-All Expense AA-1 Modif-4'!J125</f>
        <v>0</v>
      </c>
      <c r="E137" s="487"/>
    </row>
    <row r="138" spans="2:5" hidden="1" x14ac:dyDescent="0.2">
      <c r="B138" t="s">
        <v>241</v>
      </c>
      <c r="C138" s="12">
        <f>'19_20 District Budget-4'!O167</f>
        <v>0</v>
      </c>
      <c r="D138" s="12">
        <f>'PCFP-All Expense AA-1 Modif-4'!J126</f>
        <v>0</v>
      </c>
      <c r="E138" s="487"/>
    </row>
    <row r="139" spans="2:5" hidden="1" x14ac:dyDescent="0.2">
      <c r="B139" t="s">
        <v>242</v>
      </c>
      <c r="C139" s="12">
        <f>'19_20 District Budget-4'!O168</f>
        <v>0</v>
      </c>
      <c r="D139" s="12">
        <f>'PCFP-All Expense AA-1 Modif-4'!J127</f>
        <v>0</v>
      </c>
      <c r="E139" s="487"/>
    </row>
    <row r="140" spans="2:5" hidden="1" x14ac:dyDescent="0.2">
      <c r="B140" t="s">
        <v>243</v>
      </c>
      <c r="C140" s="12">
        <f>'19_20 District Budget-4'!O169</f>
        <v>0</v>
      </c>
      <c r="D140" s="12">
        <f>'PCFP-All Expense AA-1 Modif-4'!J128</f>
        <v>0</v>
      </c>
      <c r="E140" s="487"/>
    </row>
    <row r="141" spans="2:5" hidden="1" x14ac:dyDescent="0.2">
      <c r="B141" t="s">
        <v>244</v>
      </c>
      <c r="C141" s="12">
        <f>'19_20 District Budget-4'!O170</f>
        <v>443397</v>
      </c>
      <c r="D141" s="12">
        <f>'PCFP-All Expense AA-1 Modif-4'!J129</f>
        <v>0</v>
      </c>
      <c r="E141" s="487"/>
    </row>
    <row r="142" spans="2:5" hidden="1" x14ac:dyDescent="0.2">
      <c r="B142" s="2" t="s">
        <v>245</v>
      </c>
      <c r="E142" s="487"/>
    </row>
    <row r="143" spans="2:5" hidden="1" x14ac:dyDescent="0.2">
      <c r="B143" t="s">
        <v>246</v>
      </c>
      <c r="C143" s="12">
        <f>'19_20 District Budget-4'!O172</f>
        <v>0</v>
      </c>
      <c r="D143" s="12">
        <f>'PCFP-All Expense AA-1 Modif-4'!J131</f>
        <v>0</v>
      </c>
      <c r="E143" s="487"/>
    </row>
    <row r="144" spans="2:5" hidden="1" x14ac:dyDescent="0.2">
      <c r="B144" t="s">
        <v>247</v>
      </c>
      <c r="C144" s="12">
        <f>'19_20 District Budget-4'!O173</f>
        <v>0</v>
      </c>
      <c r="D144" s="12">
        <f>'PCFP-All Expense AA-1 Modif-4'!J132</f>
        <v>0</v>
      </c>
      <c r="E144" s="487"/>
    </row>
    <row r="145" spans="2:5" hidden="1" x14ac:dyDescent="0.2">
      <c r="B145" t="s">
        <v>248</v>
      </c>
      <c r="C145" s="12">
        <f>'19_20 District Budget-4'!O174</f>
        <v>0</v>
      </c>
      <c r="D145" s="12">
        <f>'PCFP-All Expense AA-1 Modif-4'!J133</f>
        <v>0</v>
      </c>
      <c r="E145" s="487"/>
    </row>
    <row r="146" spans="2:5" hidden="1" x14ac:dyDescent="0.2">
      <c r="B146" t="s">
        <v>249</v>
      </c>
      <c r="C146" s="12">
        <f>'19_20 District Budget-4'!O175</f>
        <v>0</v>
      </c>
      <c r="D146" s="12">
        <f>'PCFP-All Expense AA-1 Modif-4'!J134</f>
        <v>0</v>
      </c>
      <c r="E146" s="487"/>
    </row>
    <row r="147" spans="2:5" hidden="1" x14ac:dyDescent="0.2">
      <c r="B147" t="s">
        <v>250</v>
      </c>
      <c r="C147" s="12">
        <f>'19_20 District Budget-4'!O176</f>
        <v>0</v>
      </c>
      <c r="D147" s="12">
        <f>'PCFP-All Expense AA-1 Modif-4'!J135</f>
        <v>0</v>
      </c>
      <c r="E147" s="487"/>
    </row>
    <row r="148" spans="2:5" hidden="1" x14ac:dyDescent="0.2">
      <c r="B148" t="s">
        <v>251</v>
      </c>
      <c r="C148" s="12">
        <f>'19_20 District Budget-4'!O177</f>
        <v>0</v>
      </c>
      <c r="D148" s="12">
        <f>'PCFP-All Expense AA-1 Modif-4'!J136</f>
        <v>0</v>
      </c>
      <c r="E148" s="487"/>
    </row>
    <row r="149" spans="2:5" hidden="1" x14ac:dyDescent="0.2">
      <c r="B149" t="s">
        <v>252</v>
      </c>
      <c r="C149" s="12">
        <f>'19_20 District Budget-4'!O178</f>
        <v>0</v>
      </c>
      <c r="D149" s="12">
        <f>'PCFP-All Expense AA-1 Modif-4'!J137</f>
        <v>0</v>
      </c>
      <c r="E149" s="487"/>
    </row>
    <row r="150" spans="2:5" hidden="1" x14ac:dyDescent="0.2">
      <c r="B150" t="s">
        <v>253</v>
      </c>
      <c r="C150" s="12">
        <f>'19_20 District Budget-4'!O179</f>
        <v>0</v>
      </c>
      <c r="D150" s="12">
        <f>'PCFP-All Expense AA-1 Modif-4'!J138</f>
        <v>0</v>
      </c>
      <c r="E150" s="487"/>
    </row>
    <row r="151" spans="2:5" hidden="1" x14ac:dyDescent="0.2">
      <c r="B151" t="s">
        <v>254</v>
      </c>
      <c r="C151" s="12">
        <f>'19_20 District Budget-4'!O180</f>
        <v>0</v>
      </c>
      <c r="D151" s="12">
        <f>'PCFP-All Expense AA-1 Modif-4'!J139</f>
        <v>0</v>
      </c>
      <c r="E151" s="487"/>
    </row>
    <row r="152" spans="2:5" hidden="1" x14ac:dyDescent="0.2">
      <c r="B152" t="s">
        <v>255</v>
      </c>
      <c r="C152" s="12">
        <f>'19_20 District Budget-4'!O181</f>
        <v>0</v>
      </c>
      <c r="D152" s="12">
        <f>'PCFP-All Expense AA-1 Modif-4'!J140</f>
        <v>0</v>
      </c>
      <c r="E152" s="487"/>
    </row>
    <row r="153" spans="2:5" hidden="1" x14ac:dyDescent="0.2">
      <c r="B153" t="s">
        <v>256</v>
      </c>
      <c r="C153" s="12">
        <f>'19_20 District Budget-4'!O182</f>
        <v>0</v>
      </c>
      <c r="D153" s="12">
        <f>'PCFP-All Expense AA-1 Modif-4'!J141</f>
        <v>10219177</v>
      </c>
      <c r="E153" s="487"/>
    </row>
    <row r="154" spans="2:5" hidden="1" x14ac:dyDescent="0.2">
      <c r="B154" t="s">
        <v>257</v>
      </c>
      <c r="C154" s="12">
        <f>'19_20 District Budget-4'!O183</f>
        <v>0</v>
      </c>
      <c r="D154" s="12">
        <f>'PCFP-All Expense AA-1 Modif-4'!J142</f>
        <v>0</v>
      </c>
      <c r="E154" s="487"/>
    </row>
    <row r="155" spans="2:5" hidden="1" x14ac:dyDescent="0.2">
      <c r="B155" t="s">
        <v>258</v>
      </c>
      <c r="C155" s="12">
        <f>'19_20 District Budget-4'!O184</f>
        <v>0</v>
      </c>
      <c r="D155" s="12">
        <f>'PCFP-All Expense AA-1 Modif-4'!J143</f>
        <v>0</v>
      </c>
      <c r="E155" s="487"/>
    </row>
    <row r="156" spans="2:5" hidden="1" x14ac:dyDescent="0.2">
      <c r="B156" t="s">
        <v>259</v>
      </c>
      <c r="C156" s="12">
        <f>'19_20 District Budget-4'!O185</f>
        <v>0</v>
      </c>
      <c r="D156" s="12">
        <f>'PCFP-All Expense AA-1 Modif-4'!J144</f>
        <v>0</v>
      </c>
      <c r="E156" s="487"/>
    </row>
    <row r="157" spans="2:5" hidden="1" x14ac:dyDescent="0.2">
      <c r="B157" t="s">
        <v>260</v>
      </c>
      <c r="C157" s="12">
        <f>'19_20 District Budget-4'!O186</f>
        <v>0</v>
      </c>
      <c r="D157" s="12">
        <f>'PCFP-All Expense AA-1 Modif-4'!J145</f>
        <v>1224759</v>
      </c>
      <c r="E157" s="487"/>
    </row>
    <row r="158" spans="2:5" hidden="1" x14ac:dyDescent="0.2">
      <c r="B158" t="str">
        <f>'PCFP-All Expense AA-1 Modif-4'!B148</f>
        <v>Less:  Interfund Transfers</v>
      </c>
      <c r="C158" s="12">
        <v>0</v>
      </c>
      <c r="D158" s="12">
        <f>'PCFP-All Expense AA-1 Modif-4'!F148</f>
        <v>-4500000</v>
      </c>
      <c r="E158" s="487"/>
    </row>
  </sheetData>
  <pageMargins left="0.7" right="0.7" top="0.75" bottom="0.75" header="0.3" footer="0.3"/>
  <pageSetup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6BE1-483C-4941-98BC-8B09308B861E}">
  <dimension ref="A1:S187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0" sqref="D30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5.85546875" style="12" customWidth="1"/>
    <col min="4" max="5" width="19.5703125" style="12" bestFit="1" customWidth="1"/>
    <col min="6" max="6" width="19.28515625" style="12" bestFit="1" customWidth="1"/>
    <col min="7" max="7" width="19.5703125" style="12" bestFit="1" customWidth="1"/>
    <col min="8" max="9" width="19.140625" style="12" bestFit="1" customWidth="1"/>
    <col min="10" max="10" width="19.85546875" style="12" bestFit="1" customWidth="1"/>
    <col min="11" max="11" width="14.42578125" style="12" bestFit="1" customWidth="1"/>
    <col min="12" max="12" width="18.85546875" style="12" bestFit="1" customWidth="1"/>
    <col min="13" max="13" width="19.28515625" style="12" bestFit="1" customWidth="1"/>
    <col min="14" max="14" width="18.140625" style="12" customWidth="1"/>
    <col min="15" max="15" width="21" bestFit="1" customWidth="1"/>
    <col min="16" max="16" width="33.7109375" customWidth="1"/>
    <col min="17" max="17" width="15.7109375" customWidth="1"/>
    <col min="18" max="18" width="9.7109375" hidden="1" customWidth="1"/>
    <col min="19" max="19" width="15.5703125" hidden="1" customWidth="1"/>
    <col min="20" max="20" width="15.5703125" bestFit="1" customWidth="1"/>
  </cols>
  <sheetData>
    <row r="1" spans="1:19" s="8" customFormat="1" ht="18" x14ac:dyDescent="0.25">
      <c r="A1" s="6"/>
      <c r="B1" s="9" t="s">
        <v>261</v>
      </c>
      <c r="C1" s="10" t="s">
        <v>580</v>
      </c>
      <c r="D1" s="10" t="s">
        <v>119</v>
      </c>
      <c r="E1" s="332" t="s">
        <v>262</v>
      </c>
      <c r="F1" s="333">
        <v>102898136</v>
      </c>
      <c r="G1" s="10"/>
      <c r="H1" s="10"/>
      <c r="I1" s="10"/>
      <c r="J1" s="10"/>
      <c r="K1" s="10"/>
      <c r="N1" s="10"/>
    </row>
    <row r="2" spans="1:19" x14ac:dyDescent="0.2">
      <c r="I2" s="19"/>
    </row>
    <row r="3" spans="1:19" s="15" customFormat="1" ht="25.5" x14ac:dyDescent="0.2">
      <c r="A3" s="13"/>
      <c r="B3" s="13" t="s">
        <v>120</v>
      </c>
      <c r="C3" s="14" t="s">
        <v>263</v>
      </c>
      <c r="D3" s="14" t="s">
        <v>173</v>
      </c>
      <c r="E3" s="14" t="s">
        <v>185</v>
      </c>
      <c r="F3" s="14" t="s">
        <v>188</v>
      </c>
      <c r="G3" s="14" t="s">
        <v>582</v>
      </c>
      <c r="H3" s="14" t="s">
        <v>206</v>
      </c>
      <c r="I3" s="14" t="s">
        <v>191</v>
      </c>
      <c r="J3" s="14" t="s">
        <v>9</v>
      </c>
      <c r="K3" s="14" t="s">
        <v>583</v>
      </c>
      <c r="L3" s="14" t="s">
        <v>270</v>
      </c>
      <c r="M3" s="14" t="s">
        <v>581</v>
      </c>
      <c r="N3" s="14" t="s">
        <v>272</v>
      </c>
      <c r="O3" s="14" t="s">
        <v>273</v>
      </c>
    </row>
    <row r="4" spans="1:19" x14ac:dyDescent="0.2">
      <c r="B4" s="3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08"/>
      <c r="Q4" s="908"/>
    </row>
    <row r="5" spans="1:19" s="37" customFormat="1" x14ac:dyDescent="0.2">
      <c r="A5" s="45"/>
      <c r="B5" s="37" t="s">
        <v>274</v>
      </c>
      <c r="C5" s="915">
        <v>22398945</v>
      </c>
      <c r="D5" s="915">
        <v>3022308</v>
      </c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15"/>
      <c r="P5" s="915" t="str">
        <f>B5</f>
        <v>Property Taxes</v>
      </c>
      <c r="Q5" s="936">
        <f t="shared" ref="Q5:Q16" si="0">SUM(C5:N5)</f>
        <v>25421253</v>
      </c>
      <c r="R5" s="37" t="s">
        <v>473</v>
      </c>
    </row>
    <row r="6" spans="1:19" s="37" customFormat="1" x14ac:dyDescent="0.2">
      <c r="A6" s="45"/>
      <c r="B6" s="37" t="s">
        <v>276</v>
      </c>
      <c r="C6" s="915">
        <v>16366341</v>
      </c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  <c r="P6" s="915" t="str">
        <f t="shared" ref="P6:P16" si="1">B6</f>
        <v>School Support Taxes</v>
      </c>
      <c r="Q6" s="936">
        <f t="shared" si="0"/>
        <v>16366341</v>
      </c>
      <c r="R6" s="37" t="s">
        <v>473</v>
      </c>
    </row>
    <row r="7" spans="1:19" s="37" customFormat="1" x14ac:dyDescent="0.2">
      <c r="A7" s="45"/>
      <c r="B7" s="37" t="s">
        <v>227</v>
      </c>
      <c r="C7" s="915">
        <v>0</v>
      </c>
      <c r="D7" s="915"/>
      <c r="E7" s="915"/>
      <c r="F7" s="915">
        <v>400096</v>
      </c>
      <c r="G7" s="915"/>
      <c r="H7" s="915"/>
      <c r="I7" s="915"/>
      <c r="J7" s="915"/>
      <c r="K7" s="915"/>
      <c r="L7" s="915"/>
      <c r="M7" s="915"/>
      <c r="N7" s="915"/>
      <c r="O7" s="915"/>
      <c r="P7" s="915" t="str">
        <f t="shared" si="1"/>
        <v>Residential Construction Tax</v>
      </c>
      <c r="Q7" s="936">
        <f t="shared" si="0"/>
        <v>400096</v>
      </c>
    </row>
    <row r="8" spans="1:19" s="37" customFormat="1" x14ac:dyDescent="0.2">
      <c r="A8" s="45"/>
      <c r="B8" s="37" t="s">
        <v>277</v>
      </c>
      <c r="C8" s="915">
        <v>85000</v>
      </c>
      <c r="D8" s="915"/>
      <c r="E8" s="915"/>
      <c r="F8" s="915"/>
      <c r="G8" s="915"/>
      <c r="H8" s="915"/>
      <c r="I8" s="915"/>
      <c r="J8" s="915"/>
      <c r="K8" s="915"/>
      <c r="L8" s="915"/>
      <c r="M8" s="915"/>
      <c r="N8" s="915"/>
      <c r="O8" s="915"/>
      <c r="P8" s="915" t="str">
        <f t="shared" si="1"/>
        <v>Franchise Taxes</v>
      </c>
      <c r="Q8" s="936">
        <f t="shared" si="0"/>
        <v>85000</v>
      </c>
      <c r="R8" s="37" t="s">
        <v>275</v>
      </c>
    </row>
    <row r="9" spans="1:19" s="37" customFormat="1" x14ac:dyDescent="0.2">
      <c r="A9" s="45"/>
      <c r="B9" s="37" t="s">
        <v>278</v>
      </c>
      <c r="C9" s="915">
        <v>3671719</v>
      </c>
      <c r="D9" s="915"/>
      <c r="E9" s="915"/>
      <c r="F9" s="915">
        <v>1363144</v>
      </c>
      <c r="G9" s="915"/>
      <c r="H9" s="915"/>
      <c r="I9" s="915"/>
      <c r="J9" s="915"/>
      <c r="K9" s="915"/>
      <c r="L9" s="915"/>
      <c r="M9" s="915"/>
      <c r="N9" s="915"/>
      <c r="O9" s="915"/>
      <c r="P9" s="915" t="str">
        <f t="shared" si="1"/>
        <v>Governmental Services Tax</v>
      </c>
      <c r="Q9" s="936">
        <f t="shared" si="0"/>
        <v>5034863</v>
      </c>
      <c r="R9" s="37" t="s">
        <v>279</v>
      </c>
    </row>
    <row r="10" spans="1:19" s="37" customFormat="1" x14ac:dyDescent="0.2">
      <c r="A10" s="45"/>
      <c r="B10" s="37" t="s">
        <v>281</v>
      </c>
      <c r="C10" s="915">
        <v>35000</v>
      </c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 t="str">
        <f t="shared" si="1"/>
        <v>Boat Registration</v>
      </c>
      <c r="Q10" s="936">
        <f t="shared" si="0"/>
        <v>35000</v>
      </c>
    </row>
    <row r="11" spans="1:19" s="37" customFormat="1" x14ac:dyDescent="0.2">
      <c r="A11" s="45"/>
      <c r="B11" s="37" t="s">
        <v>584</v>
      </c>
      <c r="C11" s="915">
        <v>0</v>
      </c>
      <c r="D11" s="915"/>
      <c r="E11" s="915"/>
      <c r="F11" s="915"/>
      <c r="G11" s="915"/>
      <c r="H11" s="915"/>
      <c r="I11" s="915"/>
      <c r="J11" s="915"/>
      <c r="K11" s="915"/>
      <c r="L11" s="915"/>
      <c r="M11" s="915"/>
      <c r="N11" s="915"/>
      <c r="O11" s="915"/>
      <c r="P11" s="915" t="str">
        <f t="shared" si="1"/>
        <v>National Forest District</v>
      </c>
      <c r="Q11" s="936">
        <f t="shared" si="0"/>
        <v>0</v>
      </c>
    </row>
    <row r="12" spans="1:19" s="37" customFormat="1" x14ac:dyDescent="0.2">
      <c r="A12" s="45"/>
      <c r="B12" s="37" t="s">
        <v>282</v>
      </c>
      <c r="C12" s="915">
        <v>274000</v>
      </c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 t="str">
        <f t="shared" si="1"/>
        <v>Tuition</v>
      </c>
      <c r="Q12" s="936">
        <f t="shared" si="0"/>
        <v>274000</v>
      </c>
    </row>
    <row r="13" spans="1:19" s="37" customFormat="1" x14ac:dyDescent="0.2">
      <c r="A13" s="45"/>
      <c r="B13" s="37" t="s">
        <v>284</v>
      </c>
      <c r="C13" s="915">
        <v>45000</v>
      </c>
      <c r="D13" s="915">
        <v>15000</v>
      </c>
      <c r="E13" s="915">
        <v>20000</v>
      </c>
      <c r="F13" s="915">
        <v>20000</v>
      </c>
      <c r="G13" s="915"/>
      <c r="H13" s="915">
        <v>2000</v>
      </c>
      <c r="I13" s="915">
        <v>5000</v>
      </c>
      <c r="J13" s="915">
        <v>5000</v>
      </c>
      <c r="K13" s="915"/>
      <c r="L13" s="915">
        <v>10000</v>
      </c>
      <c r="M13" s="915">
        <v>30000</v>
      </c>
      <c r="N13" s="915"/>
      <c r="O13" s="915"/>
      <c r="P13" s="915" t="str">
        <f t="shared" si="1"/>
        <v>Earnings on Investments</v>
      </c>
      <c r="Q13" s="936">
        <f t="shared" si="0"/>
        <v>152000</v>
      </c>
    </row>
    <row r="14" spans="1:19" s="37" customFormat="1" x14ac:dyDescent="0.2">
      <c r="A14" s="45"/>
      <c r="B14" s="37" t="s">
        <v>585</v>
      </c>
      <c r="C14" s="915">
        <v>0</v>
      </c>
      <c r="D14" s="915"/>
      <c r="E14" s="915"/>
      <c r="F14" s="915"/>
      <c r="G14" s="915"/>
      <c r="H14" s="915">
        <v>586808</v>
      </c>
      <c r="I14" s="915"/>
      <c r="J14" s="915"/>
      <c r="K14" s="915"/>
      <c r="L14" s="915"/>
      <c r="M14" s="915"/>
      <c r="N14" s="915"/>
      <c r="O14" s="915"/>
      <c r="P14" s="915" t="str">
        <f t="shared" si="1"/>
        <v>Daily Sales - School Lunches</v>
      </c>
      <c r="Q14" s="936">
        <f t="shared" si="0"/>
        <v>586808</v>
      </c>
    </row>
    <row r="15" spans="1:19" s="37" customFormat="1" x14ac:dyDescent="0.2">
      <c r="A15" s="45"/>
      <c r="B15" s="37" t="s">
        <v>287</v>
      </c>
      <c r="C15" s="915">
        <v>0</v>
      </c>
      <c r="D15" s="915"/>
      <c r="E15" s="915">
        <v>32726</v>
      </c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 t="str">
        <f t="shared" si="1"/>
        <v>Rentals</v>
      </c>
      <c r="Q15" s="936">
        <f t="shared" si="0"/>
        <v>32726</v>
      </c>
    </row>
    <row r="16" spans="1:19" s="37" customFormat="1" x14ac:dyDescent="0.2">
      <c r="A16" s="45"/>
      <c r="B16" s="37" t="s">
        <v>289</v>
      </c>
      <c r="C16" s="915">
        <v>148000</v>
      </c>
      <c r="D16" s="915">
        <f>275+358984</f>
        <v>359259</v>
      </c>
      <c r="E16" s="915"/>
      <c r="F16" s="915"/>
      <c r="G16" s="915">
        <v>979963</v>
      </c>
      <c r="H16" s="915"/>
      <c r="I16" s="915"/>
      <c r="J16" s="915"/>
      <c r="K16" s="915"/>
      <c r="L16" s="915">
        <v>345000</v>
      </c>
      <c r="M16" s="915">
        <v>7288920</v>
      </c>
      <c r="N16" s="915"/>
      <c r="O16" s="915"/>
      <c r="P16" s="915" t="str">
        <f t="shared" si="1"/>
        <v>Miscellaneous</v>
      </c>
      <c r="Q16" s="936">
        <f t="shared" si="0"/>
        <v>9121142</v>
      </c>
      <c r="R16" s="37" t="s">
        <v>0</v>
      </c>
      <c r="S16" s="38">
        <f>Q5+Q6+Q8+Q9</f>
        <v>46907457</v>
      </c>
    </row>
    <row r="17" spans="1:19" x14ac:dyDescent="0.2">
      <c r="B17" s="3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30"/>
      <c r="Q17" s="930"/>
      <c r="R17" s="37" t="s">
        <v>586</v>
      </c>
      <c r="S17" s="38">
        <f>SUM(Q7,Q10,Q12,Q13,Q14,Q15,Q16)</f>
        <v>10601772</v>
      </c>
    </row>
    <row r="18" spans="1:19" s="2" customFormat="1" x14ac:dyDescent="0.2">
      <c r="B18" s="488" t="s">
        <v>124</v>
      </c>
      <c r="C18" s="931">
        <f>SUM(C4:C17)</f>
        <v>43024005</v>
      </c>
      <c r="D18" s="931">
        <f t="shared" ref="D18:N18" si="2">SUM(D4:D17)</f>
        <v>3396567</v>
      </c>
      <c r="E18" s="931">
        <f t="shared" si="2"/>
        <v>52726</v>
      </c>
      <c r="F18" s="931">
        <f t="shared" si="2"/>
        <v>1783240</v>
      </c>
      <c r="G18" s="931">
        <f t="shared" si="2"/>
        <v>979963</v>
      </c>
      <c r="H18" s="931">
        <f t="shared" si="2"/>
        <v>588808</v>
      </c>
      <c r="I18" s="931">
        <f t="shared" si="2"/>
        <v>5000</v>
      </c>
      <c r="J18" s="931">
        <f t="shared" si="2"/>
        <v>5000</v>
      </c>
      <c r="K18" s="931">
        <f t="shared" si="2"/>
        <v>0</v>
      </c>
      <c r="L18" s="931">
        <f t="shared" si="2"/>
        <v>355000</v>
      </c>
      <c r="M18" s="931">
        <f t="shared" si="2"/>
        <v>7318920</v>
      </c>
      <c r="N18" s="931">
        <f t="shared" si="2"/>
        <v>0</v>
      </c>
      <c r="O18" s="930">
        <f>SUM(C18:N18)</f>
        <v>57509229</v>
      </c>
      <c r="P18" s="930"/>
      <c r="Q18" s="930"/>
      <c r="R18" s="489"/>
      <c r="S18" s="490">
        <f>SUM(S16:S17)</f>
        <v>57509229</v>
      </c>
    </row>
    <row r="19" spans="1:19" x14ac:dyDescent="0.2"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22"/>
      <c r="P19" s="908"/>
      <c r="Q19" s="908"/>
    </row>
    <row r="20" spans="1:19" s="37" customFormat="1" x14ac:dyDescent="0.2">
      <c r="A20" s="45"/>
      <c r="B20" s="37" t="s">
        <v>371</v>
      </c>
      <c r="C20" s="915">
        <v>10652580</v>
      </c>
      <c r="D20" s="915"/>
      <c r="E20" s="915"/>
      <c r="F20" s="915"/>
      <c r="G20" s="915"/>
      <c r="H20" s="915"/>
      <c r="I20" s="915"/>
      <c r="J20" s="915"/>
      <c r="K20" s="915"/>
      <c r="L20" s="915"/>
      <c r="M20" s="915"/>
      <c r="N20" s="915"/>
      <c r="O20" s="915"/>
      <c r="P20" s="936" t="str">
        <f>B20</f>
        <v>Distributive School Fund</v>
      </c>
      <c r="Q20" s="915">
        <f>SUM(C20:N20)</f>
        <v>10652580</v>
      </c>
    </row>
    <row r="21" spans="1:19" s="37" customFormat="1" x14ac:dyDescent="0.2">
      <c r="A21" s="45"/>
      <c r="B21" s="37" t="s">
        <v>293</v>
      </c>
      <c r="C21" s="915"/>
      <c r="D21" s="915"/>
      <c r="E21" s="915"/>
      <c r="F21" s="915"/>
      <c r="G21" s="915"/>
      <c r="H21" s="915"/>
      <c r="I21" s="915"/>
      <c r="J21" s="915">
        <v>3721852</v>
      </c>
      <c r="K21" s="915"/>
      <c r="L21" s="915"/>
      <c r="M21" s="915"/>
      <c r="N21" s="915"/>
      <c r="O21" s="915"/>
      <c r="P21" s="936" t="str">
        <f t="shared" ref="P21:P24" si="3">B21</f>
        <v>Special Education - DSA Funding</v>
      </c>
      <c r="Q21" s="915">
        <f>SUM(C21:N21)</f>
        <v>3721852</v>
      </c>
    </row>
    <row r="22" spans="1:19" s="37" customFormat="1" x14ac:dyDescent="0.2">
      <c r="A22" s="45"/>
      <c r="B22" s="37" t="s">
        <v>295</v>
      </c>
      <c r="C22" s="915"/>
      <c r="D22" s="915"/>
      <c r="E22" s="915"/>
      <c r="F22" s="915"/>
      <c r="G22" s="915">
        <v>2712690</v>
      </c>
      <c r="H22" s="915">
        <v>4400</v>
      </c>
      <c r="I22" s="915"/>
      <c r="J22" s="915"/>
      <c r="K22" s="915"/>
      <c r="L22" s="915"/>
      <c r="M22" s="915"/>
      <c r="N22" s="915"/>
      <c r="O22" s="915"/>
      <c r="P22" s="936" t="str">
        <f t="shared" si="3"/>
        <v>Restricted Funding/Grants-in-aid rev</v>
      </c>
      <c r="Q22" s="915">
        <f>SUM(C22:N22)</f>
        <v>2717090</v>
      </c>
    </row>
    <row r="23" spans="1:19" s="37" customFormat="1" x14ac:dyDescent="0.2">
      <c r="A23" s="45"/>
      <c r="B23" s="37" t="s">
        <v>296</v>
      </c>
      <c r="C23" s="915"/>
      <c r="D23" s="915"/>
      <c r="E23" s="915"/>
      <c r="F23" s="915"/>
      <c r="G23" s="915">
        <v>85197</v>
      </c>
      <c r="H23" s="915"/>
      <c r="I23" s="915"/>
      <c r="J23" s="915"/>
      <c r="K23" s="915"/>
      <c r="L23" s="915"/>
      <c r="M23" s="915"/>
      <c r="N23" s="915"/>
      <c r="O23" s="915"/>
      <c r="P23" s="936" t="str">
        <f t="shared" si="3"/>
        <v>Audult High School Diploma</v>
      </c>
      <c r="Q23" s="915">
        <f>SUM(C23:N23)</f>
        <v>85197</v>
      </c>
    </row>
    <row r="24" spans="1:19" s="37" customFormat="1" x14ac:dyDescent="0.2">
      <c r="A24" s="45"/>
      <c r="B24" s="37" t="s">
        <v>191</v>
      </c>
      <c r="C24" s="915"/>
      <c r="D24" s="915"/>
      <c r="E24" s="915"/>
      <c r="F24" s="915"/>
      <c r="G24" s="915"/>
      <c r="H24" s="915"/>
      <c r="I24" s="915">
        <v>1481087</v>
      </c>
      <c r="J24" s="915"/>
      <c r="K24" s="915"/>
      <c r="L24" s="915"/>
      <c r="M24" s="915"/>
      <c r="N24" s="915"/>
      <c r="O24" s="915"/>
      <c r="P24" s="936" t="str">
        <f t="shared" si="3"/>
        <v>Class Size Reduction</v>
      </c>
      <c r="Q24" s="915">
        <f>SUM(C24:N24)</f>
        <v>1481087</v>
      </c>
    </row>
    <row r="25" spans="1:19" x14ac:dyDescent="0.2">
      <c r="C25" s="916"/>
      <c r="D25" s="916"/>
      <c r="E25" s="916"/>
      <c r="F25" s="916"/>
      <c r="G25" s="916"/>
      <c r="H25" s="916"/>
      <c r="I25" s="916"/>
      <c r="J25" s="916"/>
      <c r="K25" s="916"/>
      <c r="L25" s="916"/>
      <c r="M25" s="916"/>
      <c r="N25" s="916"/>
      <c r="O25" s="922"/>
      <c r="P25" s="915"/>
      <c r="Q25" s="908"/>
    </row>
    <row r="26" spans="1:19" s="2" customFormat="1" x14ac:dyDescent="0.2">
      <c r="B26" s="488" t="s">
        <v>125</v>
      </c>
      <c r="C26" s="931">
        <f>SUM(C19:C25)</f>
        <v>10652580</v>
      </c>
      <c r="D26" s="931">
        <f t="shared" ref="D26:N26" si="4">SUM(D19:D25)</f>
        <v>0</v>
      </c>
      <c r="E26" s="931">
        <f t="shared" si="4"/>
        <v>0</v>
      </c>
      <c r="F26" s="931">
        <f t="shared" si="4"/>
        <v>0</v>
      </c>
      <c r="G26" s="931">
        <f t="shared" si="4"/>
        <v>2797887</v>
      </c>
      <c r="H26" s="931">
        <f t="shared" si="4"/>
        <v>4400</v>
      </c>
      <c r="I26" s="931">
        <f t="shared" si="4"/>
        <v>1481087</v>
      </c>
      <c r="J26" s="931">
        <f t="shared" si="4"/>
        <v>3721852</v>
      </c>
      <c r="K26" s="931">
        <f t="shared" si="4"/>
        <v>0</v>
      </c>
      <c r="L26" s="931">
        <f t="shared" si="4"/>
        <v>0</v>
      </c>
      <c r="M26" s="931">
        <f t="shared" si="4"/>
        <v>0</v>
      </c>
      <c r="N26" s="931">
        <f t="shared" si="4"/>
        <v>0</v>
      </c>
      <c r="O26" s="930">
        <f>SUM(C26:N26)</f>
        <v>18657806</v>
      </c>
      <c r="P26" s="915"/>
      <c r="Q26" s="903"/>
    </row>
    <row r="27" spans="1:19" x14ac:dyDescent="0.2">
      <c r="C27" s="916"/>
      <c r="D27" s="916"/>
      <c r="E27" s="916"/>
      <c r="F27" s="916"/>
      <c r="G27" s="916"/>
      <c r="H27" s="916"/>
      <c r="I27" s="916"/>
      <c r="J27" s="916"/>
      <c r="K27" s="916"/>
      <c r="L27" s="916"/>
      <c r="M27" s="916"/>
      <c r="N27" s="916"/>
      <c r="O27" s="922"/>
      <c r="P27" s="915"/>
      <c r="Q27" s="908"/>
    </row>
    <row r="28" spans="1:19" s="37" customFormat="1" x14ac:dyDescent="0.2">
      <c r="A28" s="45"/>
      <c r="B28" s="37" t="s">
        <v>298</v>
      </c>
      <c r="C28" s="915"/>
      <c r="D28" s="915"/>
      <c r="E28" s="915"/>
      <c r="F28" s="915"/>
      <c r="G28" s="915">
        <v>3195193</v>
      </c>
      <c r="H28" s="915">
        <v>940500</v>
      </c>
      <c r="I28" s="915"/>
      <c r="J28" s="915"/>
      <c r="K28" s="915"/>
      <c r="L28" s="915"/>
      <c r="M28" s="915"/>
      <c r="N28" s="915"/>
      <c r="O28" s="915"/>
      <c r="P28" s="936" t="str">
        <f>B28</f>
        <v>Restricted - State Agency</v>
      </c>
      <c r="Q28" s="915">
        <f>SUM(C28:N28)</f>
        <v>4135693</v>
      </c>
    </row>
    <row r="29" spans="1:19" s="37" customFormat="1" x14ac:dyDescent="0.2">
      <c r="A29" s="45"/>
      <c r="C29" s="915"/>
      <c r="D29" s="915"/>
      <c r="E29" s="915"/>
      <c r="F29" s="915"/>
      <c r="G29" s="915"/>
      <c r="H29" s="915"/>
      <c r="I29" s="915"/>
      <c r="J29" s="915"/>
      <c r="K29" s="915"/>
      <c r="L29" s="915"/>
      <c r="M29" s="915"/>
      <c r="N29" s="915"/>
      <c r="O29" s="915"/>
      <c r="P29" s="936">
        <f>B29</f>
        <v>0</v>
      </c>
      <c r="Q29" s="915">
        <f>SUM(C29:N29)</f>
        <v>0</v>
      </c>
    </row>
    <row r="30" spans="1:19" x14ac:dyDescent="0.2">
      <c r="C30" s="916"/>
      <c r="D30" s="916"/>
      <c r="E30" s="916"/>
      <c r="F30" s="916"/>
      <c r="G30" s="916"/>
      <c r="H30" s="916"/>
      <c r="I30" s="916"/>
      <c r="J30" s="916"/>
      <c r="K30" s="916"/>
      <c r="L30" s="916"/>
      <c r="M30" s="916"/>
      <c r="N30" s="916"/>
      <c r="O30" s="922"/>
      <c r="P30" s="915"/>
      <c r="Q30" s="908"/>
    </row>
    <row r="31" spans="1:19" s="2" customFormat="1" x14ac:dyDescent="0.2">
      <c r="B31" s="488" t="s">
        <v>126</v>
      </c>
      <c r="C31" s="931">
        <f>SUM(C27:C30)</f>
        <v>0</v>
      </c>
      <c r="D31" s="931">
        <f t="shared" ref="D31:N31" si="5">SUM(D27:D30)</f>
        <v>0</v>
      </c>
      <c r="E31" s="931">
        <f t="shared" si="5"/>
        <v>0</v>
      </c>
      <c r="F31" s="931">
        <f t="shared" si="5"/>
        <v>0</v>
      </c>
      <c r="G31" s="931">
        <f t="shared" si="5"/>
        <v>3195193</v>
      </c>
      <c r="H31" s="931">
        <f t="shared" si="5"/>
        <v>940500</v>
      </c>
      <c r="I31" s="931">
        <f t="shared" si="5"/>
        <v>0</v>
      </c>
      <c r="J31" s="931">
        <f t="shared" si="5"/>
        <v>0</v>
      </c>
      <c r="K31" s="931">
        <f t="shared" si="5"/>
        <v>0</v>
      </c>
      <c r="L31" s="931">
        <f t="shared" si="5"/>
        <v>0</v>
      </c>
      <c r="M31" s="931">
        <f t="shared" si="5"/>
        <v>0</v>
      </c>
      <c r="N31" s="931">
        <f t="shared" si="5"/>
        <v>0</v>
      </c>
      <c r="O31" s="930">
        <f>SUM(C31:N31)</f>
        <v>4135693</v>
      </c>
      <c r="P31" s="915"/>
      <c r="Q31" s="903"/>
    </row>
    <row r="32" spans="1:19" x14ac:dyDescent="0.2"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22"/>
      <c r="P32" s="915"/>
      <c r="Q32" s="908"/>
    </row>
    <row r="33" spans="1:17" x14ac:dyDescent="0.2">
      <c r="B33" s="3" t="s">
        <v>301</v>
      </c>
      <c r="C33" s="916"/>
      <c r="D33" s="916"/>
      <c r="E33" s="916"/>
      <c r="F33" s="916">
        <v>100000</v>
      </c>
      <c r="G33" s="916"/>
      <c r="H33" s="916"/>
      <c r="I33" s="916"/>
      <c r="J33" s="916">
        <v>4400000</v>
      </c>
      <c r="K33" s="916"/>
      <c r="L33" s="916"/>
      <c r="M33" s="916"/>
      <c r="N33" s="916">
        <f>-4400000-100000</f>
        <v>-4500000</v>
      </c>
      <c r="O33" s="916"/>
      <c r="P33" s="922" t="str">
        <f>B33</f>
        <v>Transfers from Other Funds</v>
      </c>
      <c r="Q33" s="915">
        <f>SUM(C33:N33)</f>
        <v>0</v>
      </c>
    </row>
    <row r="34" spans="1:17" s="37" customFormat="1" x14ac:dyDescent="0.2">
      <c r="A34" s="45"/>
      <c r="B34" s="37" t="s">
        <v>302</v>
      </c>
      <c r="C34" s="915">
        <v>8000</v>
      </c>
      <c r="D34" s="915"/>
      <c r="E34" s="915"/>
      <c r="F34" s="915"/>
      <c r="G34" s="915"/>
      <c r="H34" s="915"/>
      <c r="I34" s="915"/>
      <c r="J34" s="915"/>
      <c r="K34" s="915"/>
      <c r="L34" s="915"/>
      <c r="M34" s="915"/>
      <c r="N34" s="915"/>
      <c r="O34" s="915"/>
      <c r="P34" s="922" t="str">
        <f>B34</f>
        <v xml:space="preserve">Gain/Loss Disposal of Assets </v>
      </c>
      <c r="Q34" s="915">
        <f>SUM(C34:N34)</f>
        <v>8000</v>
      </c>
    </row>
    <row r="35" spans="1:17" s="37" customFormat="1" x14ac:dyDescent="0.2">
      <c r="A35" s="45"/>
      <c r="C35" s="915"/>
      <c r="D35" s="915"/>
      <c r="E35" s="915"/>
      <c r="F35" s="915"/>
      <c r="G35" s="915"/>
      <c r="H35" s="915"/>
      <c r="I35" s="915"/>
      <c r="J35" s="915"/>
      <c r="K35" s="915"/>
      <c r="L35" s="915"/>
      <c r="M35" s="915"/>
      <c r="N35" s="915"/>
      <c r="O35" s="936"/>
      <c r="P35" s="915">
        <f t="shared" ref="P35" si="6">SUM(C35:N35)</f>
        <v>0</v>
      </c>
      <c r="Q35" s="940"/>
    </row>
    <row r="36" spans="1:17" x14ac:dyDescent="0.2"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22"/>
      <c r="P36" s="915"/>
      <c r="Q36" s="908"/>
    </row>
    <row r="37" spans="1:17" s="2" customFormat="1" x14ac:dyDescent="0.2">
      <c r="B37" s="488" t="s">
        <v>127</v>
      </c>
      <c r="C37" s="931">
        <f>SUM(C32:C36)</f>
        <v>8000</v>
      </c>
      <c r="D37" s="931">
        <f t="shared" ref="D37:N37" si="7">SUM(D32:D36)</f>
        <v>0</v>
      </c>
      <c r="E37" s="931">
        <f t="shared" si="7"/>
        <v>0</v>
      </c>
      <c r="F37" s="931">
        <f t="shared" si="7"/>
        <v>100000</v>
      </c>
      <c r="G37" s="931">
        <f t="shared" si="7"/>
        <v>0</v>
      </c>
      <c r="H37" s="931">
        <f t="shared" si="7"/>
        <v>0</v>
      </c>
      <c r="I37" s="931">
        <f t="shared" si="7"/>
        <v>0</v>
      </c>
      <c r="J37" s="931">
        <f t="shared" si="7"/>
        <v>4400000</v>
      </c>
      <c r="K37" s="931">
        <f t="shared" si="7"/>
        <v>0</v>
      </c>
      <c r="L37" s="931">
        <f t="shared" si="7"/>
        <v>0</v>
      </c>
      <c r="M37" s="931">
        <f t="shared" si="7"/>
        <v>0</v>
      </c>
      <c r="N37" s="931">
        <f t="shared" si="7"/>
        <v>-4500000</v>
      </c>
      <c r="O37" s="930">
        <f>SUM(C37:N37)</f>
        <v>8000</v>
      </c>
      <c r="P37" s="915"/>
      <c r="Q37" s="903"/>
    </row>
    <row r="38" spans="1:17" x14ac:dyDescent="0.2"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22"/>
      <c r="P38" s="915"/>
      <c r="Q38" s="908"/>
    </row>
    <row r="39" spans="1:17" s="2" customFormat="1" x14ac:dyDescent="0.2">
      <c r="B39" s="491" t="s">
        <v>128</v>
      </c>
      <c r="C39" s="931">
        <f>SUM(C37,C31,C26,C18)</f>
        <v>53684585</v>
      </c>
      <c r="D39" s="931">
        <f t="shared" ref="D39:N39" si="8">SUM(D37,D31,D26,D18)</f>
        <v>3396567</v>
      </c>
      <c r="E39" s="931">
        <f t="shared" si="8"/>
        <v>52726</v>
      </c>
      <c r="F39" s="931">
        <f t="shared" si="8"/>
        <v>1883240</v>
      </c>
      <c r="G39" s="931">
        <f t="shared" si="8"/>
        <v>6973043</v>
      </c>
      <c r="H39" s="931">
        <f t="shared" si="8"/>
        <v>1533708</v>
      </c>
      <c r="I39" s="931">
        <f t="shared" si="8"/>
        <v>1486087</v>
      </c>
      <c r="J39" s="931">
        <f t="shared" si="8"/>
        <v>8126852</v>
      </c>
      <c r="K39" s="931">
        <f t="shared" si="8"/>
        <v>0</v>
      </c>
      <c r="L39" s="931">
        <f t="shared" si="8"/>
        <v>355000</v>
      </c>
      <c r="M39" s="931">
        <f t="shared" si="8"/>
        <v>7318920</v>
      </c>
      <c r="N39" s="931">
        <f t="shared" si="8"/>
        <v>-4500000</v>
      </c>
      <c r="O39" s="930">
        <f>SUM(O18:O38)</f>
        <v>80310728</v>
      </c>
      <c r="P39" s="915"/>
      <c r="Q39" s="903"/>
    </row>
    <row r="40" spans="1:17" s="2" customFormat="1" x14ac:dyDescent="0.2">
      <c r="B40" s="18"/>
      <c r="C40" s="931"/>
      <c r="D40" s="931"/>
      <c r="E40" s="931"/>
      <c r="F40" s="931"/>
      <c r="G40" s="931"/>
      <c r="H40" s="931"/>
      <c r="I40" s="931"/>
      <c r="J40" s="931"/>
      <c r="K40" s="931"/>
      <c r="L40" s="931"/>
      <c r="M40" s="931"/>
      <c r="N40" s="931"/>
      <c r="O40" s="930"/>
      <c r="P40" s="915"/>
      <c r="Q40" s="903"/>
    </row>
    <row r="41" spans="1:17" s="37" customFormat="1" x14ac:dyDescent="0.2">
      <c r="B41" s="492" t="s">
        <v>587</v>
      </c>
      <c r="C41" s="915">
        <v>110856</v>
      </c>
      <c r="D41" s="915"/>
      <c r="E41" s="915"/>
      <c r="F41" s="915"/>
      <c r="G41" s="915"/>
      <c r="H41" s="915">
        <v>47077</v>
      </c>
      <c r="I41" s="915"/>
      <c r="J41" s="915"/>
      <c r="K41" s="915"/>
      <c r="L41" s="915"/>
      <c r="M41" s="915"/>
      <c r="N41" s="915"/>
      <c r="O41" s="915"/>
      <c r="P41" s="936" t="str">
        <f>B41</f>
        <v>Reserved Opening  Balance</v>
      </c>
      <c r="Q41" s="915">
        <f>SUM(C41:N41)</f>
        <v>157933</v>
      </c>
    </row>
    <row r="42" spans="1:17" s="37" customFormat="1" x14ac:dyDescent="0.2">
      <c r="B42" s="492" t="s">
        <v>304</v>
      </c>
      <c r="C42" s="915">
        <v>7738992</v>
      </c>
      <c r="D42" s="915">
        <v>2612718</v>
      </c>
      <c r="E42" s="915">
        <v>3670258</v>
      </c>
      <c r="F42" s="915">
        <v>3385179</v>
      </c>
      <c r="G42" s="915"/>
      <c r="H42" s="915">
        <v>371864</v>
      </c>
      <c r="I42" s="915">
        <v>18166</v>
      </c>
      <c r="J42" s="915">
        <v>857282</v>
      </c>
      <c r="K42" s="915">
        <v>5000</v>
      </c>
      <c r="L42" s="915">
        <v>869759</v>
      </c>
      <c r="M42" s="915">
        <v>2900257</v>
      </c>
      <c r="N42" s="915"/>
      <c r="O42" s="915"/>
      <c r="P42" s="936" t="str">
        <f>B42</f>
        <v>Opening Balance (Other)</v>
      </c>
      <c r="Q42" s="915">
        <f>SUM(C42:N42)</f>
        <v>22429475</v>
      </c>
    </row>
    <row r="43" spans="1:17" x14ac:dyDescent="0.2">
      <c r="C43" s="916"/>
      <c r="D43" s="916"/>
      <c r="E43" s="916"/>
      <c r="F43" s="916"/>
      <c r="G43" s="916"/>
      <c r="H43" s="916"/>
      <c r="I43" s="916"/>
      <c r="J43" s="916"/>
      <c r="K43" s="916"/>
      <c r="L43" s="916"/>
      <c r="M43" s="916"/>
      <c r="N43" s="916"/>
      <c r="O43" s="908"/>
      <c r="P43" s="915"/>
      <c r="Q43" s="908"/>
    </row>
    <row r="44" spans="1:17" s="2" customFormat="1" x14ac:dyDescent="0.2">
      <c r="B44" s="488" t="s">
        <v>129</v>
      </c>
      <c r="C44" s="285">
        <f>SUM(C40:C43)</f>
        <v>7849848</v>
      </c>
      <c r="D44" s="285">
        <f t="shared" ref="D44:N44" si="9">SUM(D40:D43)</f>
        <v>2612718</v>
      </c>
      <c r="E44" s="285">
        <f t="shared" si="9"/>
        <v>3670258</v>
      </c>
      <c r="F44" s="285">
        <f t="shared" si="9"/>
        <v>3385179</v>
      </c>
      <c r="G44" s="285">
        <f t="shared" si="9"/>
        <v>0</v>
      </c>
      <c r="H44" s="285">
        <f t="shared" si="9"/>
        <v>418941</v>
      </c>
      <c r="I44" s="285">
        <f t="shared" si="9"/>
        <v>18166</v>
      </c>
      <c r="J44" s="285">
        <f t="shared" si="9"/>
        <v>857282</v>
      </c>
      <c r="K44" s="285">
        <f t="shared" si="9"/>
        <v>5000</v>
      </c>
      <c r="L44" s="285">
        <f t="shared" si="9"/>
        <v>869759</v>
      </c>
      <c r="M44" s="285">
        <f t="shared" si="9"/>
        <v>2900257</v>
      </c>
      <c r="N44" s="285">
        <f t="shared" si="9"/>
        <v>0</v>
      </c>
      <c r="O44" s="941">
        <f>SUM(C44:N44)</f>
        <v>22587408</v>
      </c>
    </row>
    <row r="46" spans="1:17" x14ac:dyDescent="0.2">
      <c r="A46" s="22"/>
      <c r="B46" s="23" t="s">
        <v>306</v>
      </c>
      <c r="C46" s="24">
        <f>SUM(C44,C39)</f>
        <v>61534433</v>
      </c>
      <c r="D46" s="24">
        <f t="shared" ref="D46:N46" si="10">SUM(D44,D39)</f>
        <v>6009285</v>
      </c>
      <c r="E46" s="24">
        <f t="shared" si="10"/>
        <v>3722984</v>
      </c>
      <c r="F46" s="24">
        <f>SUM(F44,F39)</f>
        <v>5268419</v>
      </c>
      <c r="G46" s="24">
        <f>SUM(G44,G39)</f>
        <v>6973043</v>
      </c>
      <c r="H46" s="24">
        <f t="shared" si="10"/>
        <v>1952649</v>
      </c>
      <c r="I46" s="24">
        <f t="shared" si="10"/>
        <v>1504253</v>
      </c>
      <c r="J46" s="24">
        <f t="shared" si="10"/>
        <v>8984134</v>
      </c>
      <c r="K46" s="24">
        <f t="shared" si="10"/>
        <v>5000</v>
      </c>
      <c r="L46" s="24">
        <f t="shared" si="10"/>
        <v>1224759</v>
      </c>
      <c r="M46" s="24">
        <f t="shared" si="10"/>
        <v>10219177</v>
      </c>
      <c r="N46" s="24">
        <f t="shared" si="10"/>
        <v>-4500000</v>
      </c>
      <c r="O46" s="25">
        <f>SUM(C46:N46)</f>
        <v>102898136</v>
      </c>
      <c r="P46" s="493">
        <f>F1-O46</f>
        <v>0</v>
      </c>
      <c r="Q46" s="494">
        <f>SUM(Q5:Q45)</f>
        <v>102898136</v>
      </c>
    </row>
    <row r="47" spans="1:17" s="2" customFormat="1" x14ac:dyDescent="0.2">
      <c r="A47" s="27"/>
      <c r="B47" s="28" t="s">
        <v>131</v>
      </c>
      <c r="C47" s="285">
        <f t="shared" ref="C47:N47" si="11">SUM(C51:C186)</f>
        <v>61534433</v>
      </c>
      <c r="D47" s="285">
        <f t="shared" si="11"/>
        <v>6009285</v>
      </c>
      <c r="E47" s="285">
        <f t="shared" si="11"/>
        <v>3722984</v>
      </c>
      <c r="F47" s="285">
        <f>SUM(F51:F186)</f>
        <v>5268419</v>
      </c>
      <c r="G47" s="285">
        <f t="shared" si="11"/>
        <v>6973043</v>
      </c>
      <c r="H47" s="285">
        <f t="shared" si="11"/>
        <v>1952649</v>
      </c>
      <c r="I47" s="285">
        <f t="shared" si="11"/>
        <v>1504253</v>
      </c>
      <c r="J47" s="285">
        <f t="shared" si="11"/>
        <v>8984134</v>
      </c>
      <c r="K47" s="285">
        <f t="shared" si="11"/>
        <v>5000</v>
      </c>
      <c r="L47" s="285">
        <f t="shared" si="11"/>
        <v>1224759</v>
      </c>
      <c r="M47" s="285">
        <f t="shared" si="11"/>
        <v>10219177</v>
      </c>
      <c r="N47" s="285">
        <f t="shared" si="11"/>
        <v>-4500000</v>
      </c>
      <c r="O47" s="29">
        <f>SUM(C47:N47)</f>
        <v>102898136</v>
      </c>
    </row>
    <row r="48" spans="1:17" x14ac:dyDescent="0.2">
      <c r="A48" s="30"/>
      <c r="B48" s="286" t="s">
        <v>132</v>
      </c>
      <c r="C48" s="909">
        <f t="shared" ref="C48:O48" si="12">C46-C47</f>
        <v>0</v>
      </c>
      <c r="D48" s="909">
        <f t="shared" si="12"/>
        <v>0</v>
      </c>
      <c r="E48" s="909">
        <f t="shared" si="12"/>
        <v>0</v>
      </c>
      <c r="F48" s="909">
        <f t="shared" si="12"/>
        <v>0</v>
      </c>
      <c r="G48" s="909">
        <f t="shared" si="12"/>
        <v>0</v>
      </c>
      <c r="H48" s="909">
        <f t="shared" si="12"/>
        <v>0</v>
      </c>
      <c r="I48" s="909">
        <f t="shared" si="12"/>
        <v>0</v>
      </c>
      <c r="J48" s="909">
        <f t="shared" si="12"/>
        <v>0</v>
      </c>
      <c r="K48" s="909">
        <f t="shared" si="12"/>
        <v>0</v>
      </c>
      <c r="L48" s="909">
        <f t="shared" si="12"/>
        <v>0</v>
      </c>
      <c r="M48" s="909">
        <f>M46-M47</f>
        <v>0</v>
      </c>
      <c r="N48" s="909">
        <f t="shared" si="12"/>
        <v>0</v>
      </c>
      <c r="O48" s="522">
        <f t="shared" si="12"/>
        <v>0</v>
      </c>
    </row>
    <row r="50" spans="1:15" x14ac:dyDescent="0.2">
      <c r="B50" s="2" t="s">
        <v>307</v>
      </c>
    </row>
    <row r="51" spans="1:15" x14ac:dyDescent="0.2">
      <c r="A51" s="2">
        <v>100</v>
      </c>
      <c r="B51" t="s">
        <v>134</v>
      </c>
      <c r="C51" s="916">
        <v>25527798</v>
      </c>
      <c r="D51" s="916">
        <v>0</v>
      </c>
      <c r="E51" s="916">
        <v>0</v>
      </c>
      <c r="F51" s="916">
        <v>0</v>
      </c>
      <c r="G51" s="916">
        <v>1483912</v>
      </c>
      <c r="H51" s="916">
        <v>0</v>
      </c>
      <c r="I51" s="916">
        <v>1499253</v>
      </c>
      <c r="J51" s="916">
        <v>0</v>
      </c>
      <c r="K51" s="916">
        <v>0</v>
      </c>
      <c r="L51" s="916">
        <v>0</v>
      </c>
      <c r="M51" s="916">
        <v>0</v>
      </c>
      <c r="N51" s="916">
        <v>0</v>
      </c>
      <c r="O51" s="916">
        <f t="shared" ref="O51:O95" si="13">SUM(C51:N51)</f>
        <v>28510963</v>
      </c>
    </row>
    <row r="52" spans="1:15" x14ac:dyDescent="0.2">
      <c r="A52" s="2">
        <v>200</v>
      </c>
      <c r="B52" t="s">
        <v>135</v>
      </c>
      <c r="C52" s="916">
        <v>0</v>
      </c>
      <c r="D52" s="916">
        <v>0</v>
      </c>
      <c r="E52" s="916">
        <v>0</v>
      </c>
      <c r="F52" s="916">
        <v>0</v>
      </c>
      <c r="G52" s="916">
        <v>2116525</v>
      </c>
      <c r="H52" s="916">
        <v>0</v>
      </c>
      <c r="I52" s="916">
        <v>0</v>
      </c>
      <c r="J52" s="916">
        <v>8327995</v>
      </c>
      <c r="K52" s="916">
        <v>0</v>
      </c>
      <c r="L52" s="916">
        <v>0</v>
      </c>
      <c r="M52" s="916">
        <v>0</v>
      </c>
      <c r="N52" s="916">
        <v>0</v>
      </c>
      <c r="O52" s="916">
        <f t="shared" si="13"/>
        <v>10444520</v>
      </c>
    </row>
    <row r="53" spans="1:15" hidden="1" x14ac:dyDescent="0.2">
      <c r="A53" s="2" t="s">
        <v>10</v>
      </c>
      <c r="B53" t="s">
        <v>136</v>
      </c>
      <c r="C53" s="916">
        <v>0</v>
      </c>
      <c r="D53" s="916">
        <v>0</v>
      </c>
      <c r="E53" s="916">
        <v>0</v>
      </c>
      <c r="F53" s="916">
        <v>0</v>
      </c>
      <c r="G53" s="916">
        <v>0</v>
      </c>
      <c r="H53" s="916">
        <v>0</v>
      </c>
      <c r="I53" s="916">
        <v>0</v>
      </c>
      <c r="J53" s="916">
        <v>0</v>
      </c>
      <c r="K53" s="916">
        <v>0</v>
      </c>
      <c r="L53" s="916">
        <v>0</v>
      </c>
      <c r="M53" s="916">
        <v>0</v>
      </c>
      <c r="N53" s="916">
        <v>0</v>
      </c>
      <c r="O53" s="916">
        <f t="shared" si="13"/>
        <v>0</v>
      </c>
    </row>
    <row r="54" spans="1:15" x14ac:dyDescent="0.2">
      <c r="A54" s="2">
        <v>270</v>
      </c>
      <c r="B54" t="s">
        <v>137</v>
      </c>
      <c r="C54" s="916">
        <v>0</v>
      </c>
      <c r="D54" s="916">
        <v>0</v>
      </c>
      <c r="E54" s="916">
        <v>0</v>
      </c>
      <c r="F54" s="916">
        <v>0</v>
      </c>
      <c r="G54" s="916">
        <v>0</v>
      </c>
      <c r="H54" s="916">
        <v>0</v>
      </c>
      <c r="I54" s="916">
        <v>0</v>
      </c>
      <c r="J54" s="916">
        <v>187292</v>
      </c>
      <c r="K54" s="916">
        <v>0</v>
      </c>
      <c r="L54" s="916">
        <v>0</v>
      </c>
      <c r="M54" s="916">
        <v>0</v>
      </c>
      <c r="N54" s="916">
        <v>0</v>
      </c>
      <c r="O54" s="916">
        <f t="shared" si="13"/>
        <v>187292</v>
      </c>
    </row>
    <row r="55" spans="1:15" hidden="1" x14ac:dyDescent="0.2">
      <c r="A55" s="2" t="s">
        <v>10</v>
      </c>
      <c r="B55" t="s">
        <v>138</v>
      </c>
      <c r="C55" s="916">
        <v>0</v>
      </c>
      <c r="D55" s="916">
        <v>0</v>
      </c>
      <c r="E55" s="916">
        <v>0</v>
      </c>
      <c r="F55" s="916">
        <v>0</v>
      </c>
      <c r="G55" s="916">
        <v>0</v>
      </c>
      <c r="H55" s="916">
        <v>0</v>
      </c>
      <c r="I55" s="916">
        <v>0</v>
      </c>
      <c r="J55" s="916">
        <v>0</v>
      </c>
      <c r="K55" s="916">
        <v>0</v>
      </c>
      <c r="L55" s="916">
        <v>0</v>
      </c>
      <c r="M55" s="916">
        <v>0</v>
      </c>
      <c r="N55" s="916">
        <v>0</v>
      </c>
      <c r="O55" s="916">
        <f t="shared" si="13"/>
        <v>0</v>
      </c>
    </row>
    <row r="56" spans="1:15" x14ac:dyDescent="0.2">
      <c r="A56" s="2">
        <v>300</v>
      </c>
      <c r="B56" t="s">
        <v>139</v>
      </c>
      <c r="C56" s="916">
        <v>900977</v>
      </c>
      <c r="D56" s="916">
        <v>0</v>
      </c>
      <c r="E56" s="916">
        <v>0</v>
      </c>
      <c r="F56" s="916">
        <v>0</v>
      </c>
      <c r="G56" s="916">
        <v>674967</v>
      </c>
      <c r="H56" s="916">
        <v>0</v>
      </c>
      <c r="I56" s="916">
        <v>0</v>
      </c>
      <c r="J56" s="916">
        <v>0</v>
      </c>
      <c r="K56" s="916">
        <v>0</v>
      </c>
      <c r="L56" s="916">
        <v>0</v>
      </c>
      <c r="M56" s="916">
        <v>0</v>
      </c>
      <c r="N56" s="916">
        <v>0</v>
      </c>
      <c r="O56" s="916">
        <f t="shared" si="13"/>
        <v>1575944</v>
      </c>
    </row>
    <row r="57" spans="1:15" x14ac:dyDescent="0.2">
      <c r="A57" s="2">
        <v>400</v>
      </c>
      <c r="B57" t="s">
        <v>140</v>
      </c>
      <c r="C57" s="916">
        <v>1798968</v>
      </c>
      <c r="D57" s="916">
        <v>0</v>
      </c>
      <c r="E57" s="916">
        <v>0</v>
      </c>
      <c r="F57" s="916">
        <v>0</v>
      </c>
      <c r="G57" s="916">
        <v>242109</v>
      </c>
      <c r="H57" s="916">
        <v>0</v>
      </c>
      <c r="I57" s="916">
        <v>0</v>
      </c>
      <c r="J57" s="916">
        <v>0</v>
      </c>
      <c r="K57" s="916">
        <v>0</v>
      </c>
      <c r="L57" s="916">
        <v>0</v>
      </c>
      <c r="M57" s="916">
        <v>0</v>
      </c>
      <c r="N57" s="916">
        <v>0</v>
      </c>
      <c r="O57" s="916">
        <f t="shared" si="13"/>
        <v>2041077</v>
      </c>
    </row>
    <row r="58" spans="1:15" hidden="1" x14ac:dyDescent="0.2">
      <c r="A58" s="2" t="s">
        <v>10</v>
      </c>
      <c r="B58" t="s">
        <v>141</v>
      </c>
      <c r="C58" s="916">
        <v>0</v>
      </c>
      <c r="D58" s="916">
        <v>0</v>
      </c>
      <c r="E58" s="916">
        <v>0</v>
      </c>
      <c r="F58" s="916">
        <v>0</v>
      </c>
      <c r="G58" s="916">
        <v>0</v>
      </c>
      <c r="H58" s="916">
        <v>0</v>
      </c>
      <c r="I58" s="916">
        <v>0</v>
      </c>
      <c r="J58" s="916">
        <v>0</v>
      </c>
      <c r="K58" s="916">
        <v>0</v>
      </c>
      <c r="L58" s="916">
        <v>0</v>
      </c>
      <c r="M58" s="916">
        <v>0</v>
      </c>
      <c r="N58" s="916">
        <v>0</v>
      </c>
      <c r="O58" s="916">
        <f t="shared" si="13"/>
        <v>0</v>
      </c>
    </row>
    <row r="59" spans="1:15" hidden="1" x14ac:dyDescent="0.2">
      <c r="A59" s="2" t="s">
        <v>10</v>
      </c>
      <c r="B59" t="s">
        <v>142</v>
      </c>
      <c r="C59" s="916">
        <v>0</v>
      </c>
      <c r="D59" s="916">
        <v>0</v>
      </c>
      <c r="E59" s="916">
        <v>0</v>
      </c>
      <c r="F59" s="916">
        <v>0</v>
      </c>
      <c r="G59" s="916">
        <v>0</v>
      </c>
      <c r="H59" s="916">
        <v>0</v>
      </c>
      <c r="I59" s="916">
        <v>0</v>
      </c>
      <c r="J59" s="916">
        <v>0</v>
      </c>
      <c r="K59" s="916">
        <v>0</v>
      </c>
      <c r="L59" s="916">
        <v>0</v>
      </c>
      <c r="M59" s="916">
        <v>0</v>
      </c>
      <c r="N59" s="916">
        <v>0</v>
      </c>
      <c r="O59" s="916">
        <f t="shared" si="13"/>
        <v>0</v>
      </c>
    </row>
    <row r="60" spans="1:15" hidden="1" x14ac:dyDescent="0.2">
      <c r="A60" s="2">
        <v>430</v>
      </c>
      <c r="B60" s="3" t="s">
        <v>548</v>
      </c>
      <c r="C60" s="916">
        <v>0</v>
      </c>
      <c r="D60" s="916">
        <v>0</v>
      </c>
      <c r="E60" s="916">
        <v>0</v>
      </c>
      <c r="F60" s="916">
        <v>0</v>
      </c>
      <c r="G60" s="916">
        <v>0</v>
      </c>
      <c r="H60" s="916">
        <v>0</v>
      </c>
      <c r="I60" s="916">
        <v>0</v>
      </c>
      <c r="J60" s="916">
        <v>0</v>
      </c>
      <c r="K60" s="916">
        <v>0</v>
      </c>
      <c r="L60" s="916">
        <v>0</v>
      </c>
      <c r="M60" s="916">
        <v>0</v>
      </c>
      <c r="N60" s="916">
        <v>0</v>
      </c>
      <c r="O60" s="916">
        <f t="shared" si="13"/>
        <v>0</v>
      </c>
    </row>
    <row r="61" spans="1:15" x14ac:dyDescent="0.2">
      <c r="A61" s="2">
        <v>440</v>
      </c>
      <c r="B61" t="s">
        <v>143</v>
      </c>
      <c r="C61" s="916">
        <v>65765</v>
      </c>
      <c r="D61" s="916">
        <v>0</v>
      </c>
      <c r="E61" s="916">
        <v>0</v>
      </c>
      <c r="F61" s="916">
        <v>0</v>
      </c>
      <c r="G61" s="916">
        <v>0</v>
      </c>
      <c r="H61" s="916">
        <v>0</v>
      </c>
      <c r="I61" s="916">
        <v>0</v>
      </c>
      <c r="J61" s="916">
        <v>0</v>
      </c>
      <c r="K61" s="916">
        <v>0</v>
      </c>
      <c r="L61" s="916">
        <v>0</v>
      </c>
      <c r="M61" s="916">
        <v>0</v>
      </c>
      <c r="N61" s="916">
        <v>0</v>
      </c>
      <c r="O61" s="916">
        <f t="shared" si="13"/>
        <v>65765</v>
      </c>
    </row>
    <row r="62" spans="1:15" hidden="1" x14ac:dyDescent="0.2">
      <c r="A62" s="2">
        <v>500</v>
      </c>
      <c r="B62" t="s">
        <v>144</v>
      </c>
      <c r="C62" s="916">
        <v>0</v>
      </c>
      <c r="D62" s="916">
        <v>0</v>
      </c>
      <c r="E62" s="916">
        <v>0</v>
      </c>
      <c r="F62" s="916">
        <v>0</v>
      </c>
      <c r="G62" s="916">
        <v>0</v>
      </c>
      <c r="H62" s="916">
        <v>0</v>
      </c>
      <c r="I62" s="916">
        <v>0</v>
      </c>
      <c r="J62" s="916">
        <v>0</v>
      </c>
      <c r="K62" s="916">
        <v>0</v>
      </c>
      <c r="L62" s="916">
        <v>0</v>
      </c>
      <c r="M62" s="916">
        <v>0</v>
      </c>
      <c r="N62" s="916">
        <v>0</v>
      </c>
      <c r="O62" s="916">
        <f t="shared" si="13"/>
        <v>0</v>
      </c>
    </row>
    <row r="63" spans="1:15" x14ac:dyDescent="0.2">
      <c r="A63" s="2">
        <v>600</v>
      </c>
      <c r="B63" t="s">
        <v>145</v>
      </c>
      <c r="C63" s="916">
        <v>0</v>
      </c>
      <c r="D63" s="916">
        <v>0</v>
      </c>
      <c r="E63" s="916">
        <v>0</v>
      </c>
      <c r="F63" s="916">
        <v>0</v>
      </c>
      <c r="G63" s="916">
        <v>85197</v>
      </c>
      <c r="H63" s="916">
        <v>0</v>
      </c>
      <c r="I63" s="916">
        <v>0</v>
      </c>
      <c r="J63" s="916">
        <v>0</v>
      </c>
      <c r="K63" s="916">
        <v>0</v>
      </c>
      <c r="L63" s="916">
        <v>0</v>
      </c>
      <c r="M63" s="916">
        <v>0</v>
      </c>
      <c r="N63" s="916">
        <v>0</v>
      </c>
      <c r="O63" s="916">
        <f t="shared" si="13"/>
        <v>85197</v>
      </c>
    </row>
    <row r="64" spans="1:15" x14ac:dyDescent="0.2">
      <c r="A64" s="2">
        <v>800</v>
      </c>
      <c r="B64" t="s">
        <v>146</v>
      </c>
      <c r="C64" s="916">
        <v>0</v>
      </c>
      <c r="D64" s="916">
        <v>0</v>
      </c>
      <c r="E64" s="916">
        <v>0</v>
      </c>
      <c r="F64" s="916">
        <v>0</v>
      </c>
      <c r="G64" s="916">
        <v>18191</v>
      </c>
      <c r="H64" s="916">
        <v>0</v>
      </c>
      <c r="I64" s="916">
        <v>0</v>
      </c>
      <c r="J64" s="916">
        <v>0</v>
      </c>
      <c r="K64" s="916">
        <v>0</v>
      </c>
      <c r="L64" s="916">
        <v>0</v>
      </c>
      <c r="M64" s="916">
        <v>0</v>
      </c>
      <c r="N64" s="916">
        <v>0</v>
      </c>
      <c r="O64" s="916">
        <f t="shared" si="13"/>
        <v>18191</v>
      </c>
    </row>
    <row r="65" spans="1:17" x14ac:dyDescent="0.2">
      <c r="A65" s="2">
        <v>910</v>
      </c>
      <c r="B65" t="s">
        <v>147</v>
      </c>
      <c r="C65" s="916">
        <v>171685</v>
      </c>
      <c r="D65" s="916">
        <v>0</v>
      </c>
      <c r="E65" s="916">
        <v>0</v>
      </c>
      <c r="F65" s="916">
        <v>0</v>
      </c>
      <c r="G65" s="916">
        <v>0</v>
      </c>
      <c r="H65" s="916">
        <v>0</v>
      </c>
      <c r="I65" s="916">
        <v>0</v>
      </c>
      <c r="J65" s="916">
        <v>0</v>
      </c>
      <c r="K65" s="916">
        <v>0</v>
      </c>
      <c r="L65" s="916">
        <v>0</v>
      </c>
      <c r="M65" s="916">
        <v>0</v>
      </c>
      <c r="N65" s="916">
        <v>0</v>
      </c>
      <c r="O65" s="916">
        <f t="shared" si="13"/>
        <v>171685</v>
      </c>
    </row>
    <row r="66" spans="1:17" x14ac:dyDescent="0.2">
      <c r="A66" s="2">
        <v>920</v>
      </c>
      <c r="B66" t="s">
        <v>148</v>
      </c>
      <c r="C66" s="916">
        <v>410365</v>
      </c>
      <c r="D66" s="916">
        <v>0</v>
      </c>
      <c r="E66" s="916">
        <v>0</v>
      </c>
      <c r="F66" s="916">
        <v>0</v>
      </c>
      <c r="G66" s="916">
        <v>0</v>
      </c>
      <c r="H66" s="916">
        <v>0</v>
      </c>
      <c r="I66" s="916">
        <v>0</v>
      </c>
      <c r="J66" s="916">
        <v>0</v>
      </c>
      <c r="K66" s="916">
        <v>0</v>
      </c>
      <c r="L66" s="916">
        <v>0</v>
      </c>
      <c r="M66" s="916">
        <v>0</v>
      </c>
      <c r="N66" s="916">
        <v>0</v>
      </c>
      <c r="O66" s="916">
        <f t="shared" si="13"/>
        <v>410365</v>
      </c>
    </row>
    <row r="67" spans="1:17" x14ac:dyDescent="0.2">
      <c r="C67" s="916"/>
      <c r="D67" s="916"/>
      <c r="E67" s="916"/>
      <c r="F67" s="916"/>
      <c r="G67" s="916"/>
      <c r="H67" s="916"/>
      <c r="I67" s="916"/>
      <c r="J67" s="916"/>
      <c r="K67" s="916"/>
      <c r="L67" s="916"/>
      <c r="M67" s="916"/>
      <c r="N67" s="916"/>
      <c r="O67" s="916">
        <f t="shared" si="13"/>
        <v>0</v>
      </c>
    </row>
    <row r="68" spans="1:17" x14ac:dyDescent="0.2">
      <c r="A68" s="2" t="s">
        <v>149</v>
      </c>
      <c r="B68" s="2" t="s">
        <v>150</v>
      </c>
      <c r="C68" s="916"/>
      <c r="D68" s="916"/>
      <c r="E68" s="916"/>
      <c r="F68" s="916"/>
      <c r="G68" s="916"/>
      <c r="H68" s="916"/>
      <c r="I68" s="916"/>
      <c r="J68" s="916"/>
      <c r="K68" s="916"/>
      <c r="L68" s="916"/>
      <c r="M68" s="916"/>
      <c r="N68" s="916"/>
      <c r="O68" s="916">
        <f t="shared" si="13"/>
        <v>0</v>
      </c>
    </row>
    <row r="69" spans="1:17" x14ac:dyDescent="0.2">
      <c r="A69" s="2">
        <v>2100</v>
      </c>
      <c r="B69" t="s">
        <v>151</v>
      </c>
      <c r="C69" s="916">
        <v>2807009</v>
      </c>
      <c r="D69" s="916">
        <v>0</v>
      </c>
      <c r="E69" s="916">
        <v>0</v>
      </c>
      <c r="F69" s="916">
        <v>0</v>
      </c>
      <c r="G69" s="916">
        <v>402059</v>
      </c>
      <c r="H69" s="916">
        <v>0</v>
      </c>
      <c r="I69" s="916">
        <v>0</v>
      </c>
      <c r="J69" s="916">
        <v>0</v>
      </c>
      <c r="K69" s="916">
        <v>0</v>
      </c>
      <c r="L69" s="916">
        <v>0</v>
      </c>
      <c r="M69" s="916">
        <v>0</v>
      </c>
      <c r="N69" s="916">
        <v>0</v>
      </c>
      <c r="O69" s="916">
        <f t="shared" si="13"/>
        <v>3209068</v>
      </c>
    </row>
    <row r="70" spans="1:17" x14ac:dyDescent="0.2">
      <c r="A70" s="2">
        <v>2200</v>
      </c>
      <c r="B70" t="s">
        <v>152</v>
      </c>
      <c r="C70" s="916">
        <v>1357104</v>
      </c>
      <c r="D70" s="916">
        <v>0</v>
      </c>
      <c r="E70" s="916">
        <v>0</v>
      </c>
      <c r="F70" s="916">
        <v>0</v>
      </c>
      <c r="G70" s="916">
        <v>641140</v>
      </c>
      <c r="H70" s="916">
        <v>0</v>
      </c>
      <c r="I70" s="916">
        <v>0</v>
      </c>
      <c r="J70" s="916">
        <v>0</v>
      </c>
      <c r="K70" s="916">
        <v>0</v>
      </c>
      <c r="L70" s="916">
        <v>0</v>
      </c>
      <c r="M70" s="916">
        <v>0</v>
      </c>
      <c r="N70" s="916">
        <v>0</v>
      </c>
      <c r="O70" s="916">
        <f t="shared" si="13"/>
        <v>1998244</v>
      </c>
      <c r="P70" s="4"/>
      <c r="Q70" s="4"/>
    </row>
    <row r="71" spans="1:17" x14ac:dyDescent="0.2">
      <c r="A71" s="2">
        <v>2300</v>
      </c>
      <c r="B71" t="s">
        <v>153</v>
      </c>
      <c r="C71" s="916">
        <v>643982</v>
      </c>
      <c r="D71" s="916">
        <v>0</v>
      </c>
      <c r="E71" s="916">
        <v>0</v>
      </c>
      <c r="F71" s="916">
        <v>0</v>
      </c>
      <c r="G71" s="916">
        <v>15859</v>
      </c>
      <c r="H71" s="916">
        <v>0</v>
      </c>
      <c r="I71" s="916">
        <v>0</v>
      </c>
      <c r="J71" s="916">
        <v>0</v>
      </c>
      <c r="K71" s="916">
        <v>0</v>
      </c>
      <c r="L71" s="916">
        <v>0</v>
      </c>
      <c r="M71" s="916">
        <v>0</v>
      </c>
      <c r="N71" s="916">
        <v>0</v>
      </c>
      <c r="O71" s="916">
        <f t="shared" si="13"/>
        <v>659841</v>
      </c>
      <c r="P71" s="12"/>
      <c r="Q71" s="17"/>
    </row>
    <row r="72" spans="1:17" x14ac:dyDescent="0.2">
      <c r="A72" s="2">
        <v>2400</v>
      </c>
      <c r="B72" t="s">
        <v>154</v>
      </c>
      <c r="C72" s="916">
        <v>4810333</v>
      </c>
      <c r="D72" s="916">
        <v>0</v>
      </c>
      <c r="E72" s="916">
        <v>0</v>
      </c>
      <c r="F72" s="916">
        <v>0</v>
      </c>
      <c r="G72" s="916">
        <v>0</v>
      </c>
      <c r="H72" s="916">
        <v>0</v>
      </c>
      <c r="I72" s="916">
        <v>0</v>
      </c>
      <c r="J72" s="916">
        <v>0</v>
      </c>
      <c r="K72" s="916">
        <v>0</v>
      </c>
      <c r="L72" s="916">
        <v>0</v>
      </c>
      <c r="M72" s="916">
        <v>0</v>
      </c>
      <c r="N72" s="916">
        <v>0</v>
      </c>
      <c r="O72" s="916">
        <f t="shared" si="13"/>
        <v>4810333</v>
      </c>
      <c r="P72" s="495"/>
      <c r="Q72" s="495"/>
    </row>
    <row r="73" spans="1:17" x14ac:dyDescent="0.2">
      <c r="A73" s="2">
        <v>2500</v>
      </c>
      <c r="B73" t="s">
        <v>155</v>
      </c>
      <c r="C73" s="916">
        <v>2066515</v>
      </c>
      <c r="D73" s="916">
        <v>0</v>
      </c>
      <c r="E73" s="916">
        <v>0</v>
      </c>
      <c r="F73" s="916">
        <v>0</v>
      </c>
      <c r="G73" s="916">
        <v>0</v>
      </c>
      <c r="H73" s="916">
        <v>0</v>
      </c>
      <c r="I73" s="916">
        <v>0</v>
      </c>
      <c r="J73" s="916">
        <v>0</v>
      </c>
      <c r="K73" s="916">
        <v>0</v>
      </c>
      <c r="L73" s="916">
        <v>0</v>
      </c>
      <c r="M73" s="916">
        <v>0</v>
      </c>
      <c r="N73" s="916">
        <v>0</v>
      </c>
      <c r="O73" s="916">
        <f t="shared" si="13"/>
        <v>2066515</v>
      </c>
    </row>
    <row r="74" spans="1:17" x14ac:dyDescent="0.2">
      <c r="A74" s="2">
        <v>2600</v>
      </c>
      <c r="B74" t="s">
        <v>156</v>
      </c>
      <c r="C74" s="916">
        <v>8663622</v>
      </c>
      <c r="D74" s="916">
        <v>0</v>
      </c>
      <c r="E74" s="916">
        <v>0</v>
      </c>
      <c r="F74" s="916">
        <v>0</v>
      </c>
      <c r="G74" s="916">
        <v>0</v>
      </c>
      <c r="H74" s="916">
        <v>0</v>
      </c>
      <c r="I74" s="916">
        <v>0</v>
      </c>
      <c r="J74" s="916">
        <v>0</v>
      </c>
      <c r="K74" s="916">
        <v>0</v>
      </c>
      <c r="L74" s="916">
        <v>0</v>
      </c>
      <c r="M74" s="916">
        <v>0</v>
      </c>
      <c r="N74" s="916">
        <v>0</v>
      </c>
      <c r="O74" s="916">
        <f t="shared" si="13"/>
        <v>8663622</v>
      </c>
    </row>
    <row r="75" spans="1:17" x14ac:dyDescent="0.2">
      <c r="A75" s="2">
        <v>2700</v>
      </c>
      <c r="B75" t="s">
        <v>157</v>
      </c>
      <c r="C75" s="916">
        <v>4206894</v>
      </c>
      <c r="D75" s="916">
        <v>0</v>
      </c>
      <c r="E75" s="916">
        <v>0</v>
      </c>
      <c r="F75" s="916">
        <v>0</v>
      </c>
      <c r="G75" s="916">
        <v>0</v>
      </c>
      <c r="H75" s="916">
        <v>0</v>
      </c>
      <c r="I75" s="916">
        <v>0</v>
      </c>
      <c r="J75" s="916">
        <v>0</v>
      </c>
      <c r="K75" s="916">
        <v>0</v>
      </c>
      <c r="L75" s="916">
        <v>0</v>
      </c>
      <c r="M75" s="916">
        <v>0</v>
      </c>
      <c r="N75" s="916">
        <v>0</v>
      </c>
      <c r="O75" s="916">
        <f t="shared" si="13"/>
        <v>4206894</v>
      </c>
    </row>
    <row r="76" spans="1:17" x14ac:dyDescent="0.2">
      <c r="A76" s="2">
        <v>2900</v>
      </c>
      <c r="B76" t="s">
        <v>158</v>
      </c>
      <c r="C76" s="916">
        <v>247150</v>
      </c>
      <c r="D76" s="916">
        <v>0</v>
      </c>
      <c r="E76" s="916">
        <v>0</v>
      </c>
      <c r="F76" s="916">
        <v>465000</v>
      </c>
      <c r="G76" s="916">
        <v>109443</v>
      </c>
      <c r="H76" s="916">
        <v>0</v>
      </c>
      <c r="I76" s="916">
        <v>0</v>
      </c>
      <c r="J76" s="916">
        <v>0</v>
      </c>
      <c r="K76" s="916">
        <v>0</v>
      </c>
      <c r="L76" s="916">
        <v>0</v>
      </c>
      <c r="M76" s="916">
        <v>0</v>
      </c>
      <c r="N76" s="916">
        <v>0</v>
      </c>
      <c r="O76" s="916">
        <f t="shared" si="13"/>
        <v>821593</v>
      </c>
    </row>
    <row r="77" spans="1:17" hidden="1" x14ac:dyDescent="0.2">
      <c r="A77" s="2">
        <v>3000</v>
      </c>
      <c r="B77" t="s">
        <v>159</v>
      </c>
      <c r="C77" s="916">
        <v>0</v>
      </c>
      <c r="D77" s="916">
        <v>0</v>
      </c>
      <c r="E77" s="916">
        <v>0</v>
      </c>
      <c r="F77" s="916">
        <v>0</v>
      </c>
      <c r="G77" s="916">
        <v>0</v>
      </c>
      <c r="H77" s="916">
        <v>0</v>
      </c>
      <c r="I77" s="916">
        <v>0</v>
      </c>
      <c r="J77" s="916">
        <v>0</v>
      </c>
      <c r="K77" s="916">
        <v>0</v>
      </c>
      <c r="L77" s="916">
        <v>0</v>
      </c>
      <c r="M77" s="916">
        <v>0</v>
      </c>
      <c r="N77" s="916">
        <v>0</v>
      </c>
      <c r="O77" s="916">
        <f t="shared" si="13"/>
        <v>0</v>
      </c>
    </row>
    <row r="78" spans="1:17" x14ac:dyDescent="0.2">
      <c r="A78" s="2">
        <v>3100</v>
      </c>
      <c r="B78" t="s">
        <v>160</v>
      </c>
      <c r="C78" s="916">
        <v>0</v>
      </c>
      <c r="D78" s="916">
        <v>0</v>
      </c>
      <c r="E78" s="916">
        <v>0</v>
      </c>
      <c r="F78" s="916">
        <v>0</v>
      </c>
      <c r="G78" s="916">
        <v>13738</v>
      </c>
      <c r="H78" s="916">
        <v>1647746</v>
      </c>
      <c r="I78" s="916">
        <v>0</v>
      </c>
      <c r="J78" s="916">
        <v>0</v>
      </c>
      <c r="K78" s="916">
        <v>0</v>
      </c>
      <c r="L78" s="916">
        <v>0</v>
      </c>
      <c r="M78" s="916">
        <v>0</v>
      </c>
      <c r="N78" s="916">
        <v>0</v>
      </c>
      <c r="O78" s="916">
        <f t="shared" si="13"/>
        <v>1661484</v>
      </c>
    </row>
    <row r="79" spans="1:17" hidden="1" x14ac:dyDescent="0.2">
      <c r="A79" s="2">
        <v>3200</v>
      </c>
      <c r="B79" t="s">
        <v>161</v>
      </c>
      <c r="C79" s="916">
        <v>0</v>
      </c>
      <c r="D79" s="916">
        <v>0</v>
      </c>
      <c r="E79" s="916">
        <v>0</v>
      </c>
      <c r="F79" s="916">
        <v>0</v>
      </c>
      <c r="G79" s="916">
        <v>0</v>
      </c>
      <c r="H79" s="916">
        <v>0</v>
      </c>
      <c r="I79" s="916">
        <v>0</v>
      </c>
      <c r="J79" s="916">
        <v>0</v>
      </c>
      <c r="K79" s="916">
        <v>0</v>
      </c>
      <c r="L79" s="916">
        <v>0</v>
      </c>
      <c r="M79" s="916">
        <v>0</v>
      </c>
      <c r="N79" s="916">
        <v>0</v>
      </c>
      <c r="O79" s="916">
        <f t="shared" si="13"/>
        <v>0</v>
      </c>
    </row>
    <row r="80" spans="1:17" hidden="1" x14ac:dyDescent="0.2">
      <c r="A80" s="2">
        <v>3300</v>
      </c>
      <c r="B80" t="s">
        <v>162</v>
      </c>
      <c r="C80" s="916">
        <v>0</v>
      </c>
      <c r="D80" s="916">
        <v>0</v>
      </c>
      <c r="E80" s="916">
        <v>0</v>
      </c>
      <c r="F80" s="916">
        <v>0</v>
      </c>
      <c r="G80" s="916">
        <v>0</v>
      </c>
      <c r="H80" s="916">
        <v>0</v>
      </c>
      <c r="I80" s="916">
        <v>0</v>
      </c>
      <c r="J80" s="916">
        <v>0</v>
      </c>
      <c r="K80" s="916">
        <v>0</v>
      </c>
      <c r="L80" s="916">
        <v>0</v>
      </c>
      <c r="M80" s="916">
        <v>0</v>
      </c>
      <c r="N80" s="916">
        <v>0</v>
      </c>
      <c r="O80" s="916">
        <f t="shared" si="13"/>
        <v>0</v>
      </c>
    </row>
    <row r="81" spans="1:15" hidden="1" x14ac:dyDescent="0.2">
      <c r="A81" s="2">
        <v>4000</v>
      </c>
      <c r="B81" t="s">
        <v>164</v>
      </c>
      <c r="C81" s="916">
        <v>0</v>
      </c>
      <c r="D81" s="916">
        <v>0</v>
      </c>
      <c r="E81" s="916">
        <v>0</v>
      </c>
      <c r="F81" s="916">
        <v>0</v>
      </c>
      <c r="G81" s="916">
        <v>0</v>
      </c>
      <c r="H81" s="916">
        <v>0</v>
      </c>
      <c r="I81" s="916">
        <v>0</v>
      </c>
      <c r="J81" s="916">
        <v>0</v>
      </c>
      <c r="K81" s="916">
        <v>0</v>
      </c>
      <c r="L81" s="916">
        <v>0</v>
      </c>
      <c r="M81" s="916">
        <v>0</v>
      </c>
      <c r="N81" s="916">
        <v>0</v>
      </c>
      <c r="O81" s="916">
        <f t="shared" si="13"/>
        <v>0</v>
      </c>
    </row>
    <row r="82" spans="1:15" hidden="1" x14ac:dyDescent="0.2">
      <c r="A82" s="2">
        <v>4100</v>
      </c>
      <c r="B82" t="s">
        <v>163</v>
      </c>
      <c r="C82" s="916">
        <v>0</v>
      </c>
      <c r="D82" s="916">
        <v>0</v>
      </c>
      <c r="E82" s="916">
        <v>0</v>
      </c>
      <c r="F82" s="916">
        <v>0</v>
      </c>
      <c r="G82" s="916">
        <v>0</v>
      </c>
      <c r="H82" s="916">
        <v>0</v>
      </c>
      <c r="I82" s="916">
        <v>0</v>
      </c>
      <c r="J82" s="916">
        <v>0</v>
      </c>
      <c r="K82" s="916">
        <v>0</v>
      </c>
      <c r="L82" s="916">
        <v>0</v>
      </c>
      <c r="M82" s="916">
        <v>0</v>
      </c>
      <c r="N82" s="916">
        <v>0</v>
      </c>
      <c r="O82" s="916">
        <f t="shared" si="13"/>
        <v>0</v>
      </c>
    </row>
    <row r="83" spans="1:15" hidden="1" x14ac:dyDescent="0.2">
      <c r="A83" s="2">
        <v>4200</v>
      </c>
      <c r="B83" t="s">
        <v>165</v>
      </c>
      <c r="C83" s="916">
        <v>0</v>
      </c>
      <c r="D83" s="916">
        <v>0</v>
      </c>
      <c r="E83" s="916">
        <v>0</v>
      </c>
      <c r="F83" s="916">
        <v>0</v>
      </c>
      <c r="G83" s="916">
        <v>0</v>
      </c>
      <c r="H83" s="916">
        <v>0</v>
      </c>
      <c r="I83" s="916">
        <v>0</v>
      </c>
      <c r="J83" s="916">
        <v>0</v>
      </c>
      <c r="K83" s="916">
        <v>0</v>
      </c>
      <c r="L83" s="916">
        <v>0</v>
      </c>
      <c r="M83" s="916">
        <v>0</v>
      </c>
      <c r="N83" s="916">
        <v>0</v>
      </c>
      <c r="O83" s="916">
        <f t="shared" si="13"/>
        <v>0</v>
      </c>
    </row>
    <row r="84" spans="1:15" hidden="1" x14ac:dyDescent="0.2">
      <c r="A84" s="2">
        <v>4300</v>
      </c>
      <c r="B84" t="s">
        <v>166</v>
      </c>
      <c r="C84" s="916">
        <v>0</v>
      </c>
      <c r="D84" s="916">
        <v>0</v>
      </c>
      <c r="E84" s="916">
        <v>0</v>
      </c>
      <c r="F84" s="916">
        <v>0</v>
      </c>
      <c r="G84" s="916">
        <v>0</v>
      </c>
      <c r="H84" s="916">
        <v>0</v>
      </c>
      <c r="I84" s="916">
        <v>0</v>
      </c>
      <c r="J84" s="916">
        <v>0</v>
      </c>
      <c r="K84" s="916">
        <v>0</v>
      </c>
      <c r="L84" s="916">
        <v>0</v>
      </c>
      <c r="M84" s="916">
        <v>0</v>
      </c>
      <c r="N84" s="916">
        <v>0</v>
      </c>
      <c r="O84" s="916">
        <f t="shared" si="13"/>
        <v>0</v>
      </c>
    </row>
    <row r="85" spans="1:15" hidden="1" x14ac:dyDescent="0.2">
      <c r="A85" s="2">
        <v>4400</v>
      </c>
      <c r="B85" t="s">
        <v>167</v>
      </c>
      <c r="C85" s="916">
        <v>0</v>
      </c>
      <c r="D85" s="916">
        <v>0</v>
      </c>
      <c r="E85" s="916">
        <v>0</v>
      </c>
      <c r="F85" s="916">
        <v>0</v>
      </c>
      <c r="G85" s="916">
        <v>0</v>
      </c>
      <c r="H85" s="916">
        <v>0</v>
      </c>
      <c r="I85" s="916">
        <v>0</v>
      </c>
      <c r="J85" s="916">
        <v>0</v>
      </c>
      <c r="K85" s="916">
        <v>0</v>
      </c>
      <c r="L85" s="916">
        <v>0</v>
      </c>
      <c r="M85" s="916">
        <v>0</v>
      </c>
      <c r="N85" s="916">
        <v>0</v>
      </c>
      <c r="O85" s="916">
        <f t="shared" si="13"/>
        <v>0</v>
      </c>
    </row>
    <row r="86" spans="1:15" hidden="1" x14ac:dyDescent="0.2">
      <c r="A86" s="2">
        <v>4500</v>
      </c>
      <c r="B86" t="s">
        <v>168</v>
      </c>
      <c r="C86" s="916">
        <v>0</v>
      </c>
      <c r="D86" s="916">
        <v>0</v>
      </c>
      <c r="E86" s="916">
        <v>0</v>
      </c>
      <c r="F86" s="916">
        <v>0</v>
      </c>
      <c r="G86" s="916">
        <v>0</v>
      </c>
      <c r="H86" s="916">
        <v>0</v>
      </c>
      <c r="I86" s="916">
        <v>0</v>
      </c>
      <c r="J86" s="916">
        <v>0</v>
      </c>
      <c r="K86" s="916">
        <v>0</v>
      </c>
      <c r="L86" s="916">
        <v>0</v>
      </c>
      <c r="M86" s="916">
        <v>0</v>
      </c>
      <c r="N86" s="916">
        <v>0</v>
      </c>
      <c r="O86" s="916">
        <f t="shared" si="13"/>
        <v>0</v>
      </c>
    </row>
    <row r="87" spans="1:15" x14ac:dyDescent="0.2">
      <c r="A87" s="2">
        <v>4600</v>
      </c>
      <c r="B87" t="s">
        <v>169</v>
      </c>
      <c r="C87" s="916">
        <v>10000</v>
      </c>
      <c r="D87" s="916">
        <v>0</v>
      </c>
      <c r="E87" s="916">
        <v>1380000</v>
      </c>
      <c r="F87" s="916">
        <v>191502</v>
      </c>
      <c r="G87" s="916">
        <v>379881</v>
      </c>
      <c r="H87" s="916">
        <v>0</v>
      </c>
      <c r="I87" s="916">
        <v>0</v>
      </c>
      <c r="J87" s="916">
        <v>0</v>
      </c>
      <c r="K87" s="916">
        <v>0</v>
      </c>
      <c r="L87" s="916">
        <v>0</v>
      </c>
      <c r="M87" s="916">
        <v>0</v>
      </c>
      <c r="N87" s="916">
        <v>0</v>
      </c>
      <c r="O87" s="916">
        <f t="shared" si="13"/>
        <v>1961383</v>
      </c>
    </row>
    <row r="88" spans="1:15" x14ac:dyDescent="0.2">
      <c r="A88" s="2">
        <v>4700</v>
      </c>
      <c r="B88" t="s">
        <v>170</v>
      </c>
      <c r="C88" s="916">
        <v>0</v>
      </c>
      <c r="D88" s="916">
        <v>0</v>
      </c>
      <c r="E88" s="916">
        <v>1886406</v>
      </c>
      <c r="F88" s="916">
        <v>1478561</v>
      </c>
      <c r="G88" s="916">
        <v>22</v>
      </c>
      <c r="H88" s="916">
        <v>0</v>
      </c>
      <c r="I88" s="916">
        <v>0</v>
      </c>
      <c r="J88" s="916">
        <v>0</v>
      </c>
      <c r="K88" s="916">
        <v>0</v>
      </c>
      <c r="L88" s="916">
        <v>0</v>
      </c>
      <c r="M88" s="916">
        <v>0</v>
      </c>
      <c r="N88" s="916">
        <v>0</v>
      </c>
      <c r="O88" s="916">
        <f t="shared" si="13"/>
        <v>3364989</v>
      </c>
    </row>
    <row r="89" spans="1:15" x14ac:dyDescent="0.2">
      <c r="A89" s="2">
        <v>4900</v>
      </c>
      <c r="B89" t="s">
        <v>171</v>
      </c>
      <c r="C89" s="916">
        <v>0</v>
      </c>
      <c r="D89" s="916">
        <v>0</v>
      </c>
      <c r="E89" s="916">
        <v>0</v>
      </c>
      <c r="F89" s="916">
        <v>0</v>
      </c>
      <c r="G89" s="916">
        <v>790000</v>
      </c>
      <c r="H89" s="916">
        <v>0</v>
      </c>
      <c r="I89" s="916">
        <v>0</v>
      </c>
      <c r="J89" s="916">
        <v>0</v>
      </c>
      <c r="K89" s="916">
        <v>0</v>
      </c>
      <c r="L89" s="916">
        <v>0</v>
      </c>
      <c r="M89" s="916">
        <v>0</v>
      </c>
      <c r="N89" s="916">
        <v>0</v>
      </c>
      <c r="O89" s="916">
        <f t="shared" si="13"/>
        <v>790000</v>
      </c>
    </row>
    <row r="90" spans="1:15" x14ac:dyDescent="0.2">
      <c r="A90" s="2">
        <v>5000</v>
      </c>
      <c r="B90" t="s">
        <v>172</v>
      </c>
      <c r="C90" s="916">
        <v>522668</v>
      </c>
      <c r="D90" s="916">
        <v>2941456</v>
      </c>
      <c r="E90" s="916">
        <v>0</v>
      </c>
      <c r="F90" s="916">
        <v>0</v>
      </c>
      <c r="G90" s="916">
        <v>0</v>
      </c>
      <c r="H90" s="916">
        <v>0</v>
      </c>
      <c r="I90" s="916">
        <v>0</v>
      </c>
      <c r="J90" s="916">
        <v>0</v>
      </c>
      <c r="K90" s="916">
        <v>0</v>
      </c>
      <c r="L90" s="916">
        <v>0</v>
      </c>
      <c r="M90" s="916">
        <v>0</v>
      </c>
      <c r="N90" s="916">
        <v>0</v>
      </c>
      <c r="O90" s="916">
        <f t="shared" si="13"/>
        <v>3464124</v>
      </c>
    </row>
    <row r="91" spans="1:15" hidden="1" x14ac:dyDescent="0.2">
      <c r="A91" s="2">
        <v>5000</v>
      </c>
      <c r="B91" t="s">
        <v>173</v>
      </c>
      <c r="C91" s="916">
        <v>0</v>
      </c>
      <c r="D91" s="916">
        <v>0</v>
      </c>
      <c r="E91" s="916">
        <v>0</v>
      </c>
      <c r="F91" s="916">
        <v>0</v>
      </c>
      <c r="G91" s="916">
        <v>0</v>
      </c>
      <c r="H91" s="916">
        <v>0</v>
      </c>
      <c r="I91" s="916">
        <v>0</v>
      </c>
      <c r="J91" s="916">
        <v>0</v>
      </c>
      <c r="K91" s="916">
        <v>0</v>
      </c>
      <c r="L91" s="916">
        <v>0</v>
      </c>
      <c r="M91" s="916">
        <v>0</v>
      </c>
      <c r="N91" s="916">
        <v>0</v>
      </c>
      <c r="O91" s="916">
        <f t="shared" si="13"/>
        <v>0</v>
      </c>
    </row>
    <row r="92" spans="1:15" hidden="1" x14ac:dyDescent="0.2">
      <c r="A92" s="2">
        <v>6100</v>
      </c>
      <c r="B92" t="s">
        <v>174</v>
      </c>
      <c r="C92" s="916">
        <v>0</v>
      </c>
      <c r="D92" s="916">
        <v>0</v>
      </c>
      <c r="E92" s="916">
        <v>0</v>
      </c>
      <c r="F92" s="916">
        <v>0</v>
      </c>
      <c r="G92" s="916">
        <v>0</v>
      </c>
      <c r="H92" s="916">
        <v>0</v>
      </c>
      <c r="I92" s="916">
        <v>0</v>
      </c>
      <c r="J92" s="916">
        <v>0</v>
      </c>
      <c r="K92" s="916">
        <v>0</v>
      </c>
      <c r="L92" s="916">
        <v>0</v>
      </c>
      <c r="M92" s="916">
        <v>0</v>
      </c>
      <c r="N92" s="916">
        <v>0</v>
      </c>
      <c r="O92" s="916">
        <f t="shared" si="13"/>
        <v>0</v>
      </c>
    </row>
    <row r="93" spans="1:15" x14ac:dyDescent="0.2">
      <c r="A93" s="2">
        <v>6200</v>
      </c>
      <c r="B93" t="s">
        <v>175</v>
      </c>
      <c r="C93" s="916">
        <v>4400000</v>
      </c>
      <c r="D93" s="916">
        <v>0</v>
      </c>
      <c r="E93" s="916">
        <v>0</v>
      </c>
      <c r="F93" s="916">
        <v>0</v>
      </c>
      <c r="G93" s="916">
        <v>0</v>
      </c>
      <c r="H93" s="916">
        <v>0</v>
      </c>
      <c r="I93" s="916">
        <v>0</v>
      </c>
      <c r="J93" s="916">
        <v>0</v>
      </c>
      <c r="K93" s="916">
        <v>0</v>
      </c>
      <c r="L93" s="916">
        <v>0</v>
      </c>
      <c r="M93" s="916">
        <v>0</v>
      </c>
      <c r="N93" s="916">
        <v>-4400000</v>
      </c>
      <c r="O93" s="916">
        <f t="shared" si="13"/>
        <v>0</v>
      </c>
    </row>
    <row r="94" spans="1:15" x14ac:dyDescent="0.2">
      <c r="A94" s="2">
        <v>6300</v>
      </c>
      <c r="B94" t="s">
        <v>176</v>
      </c>
      <c r="C94" s="916">
        <v>528788</v>
      </c>
      <c r="D94" s="916">
        <v>0</v>
      </c>
      <c r="E94" s="916">
        <v>0</v>
      </c>
      <c r="F94" s="916">
        <v>0</v>
      </c>
      <c r="G94" s="916">
        <v>0</v>
      </c>
      <c r="H94" s="916">
        <v>25000</v>
      </c>
      <c r="I94" s="916">
        <v>0</v>
      </c>
      <c r="J94" s="916">
        <v>85153</v>
      </c>
      <c r="K94" s="916">
        <v>0</v>
      </c>
      <c r="L94" s="916">
        <v>0</v>
      </c>
      <c r="M94" s="916">
        <v>0</v>
      </c>
      <c r="N94" s="916">
        <v>0</v>
      </c>
      <c r="O94" s="916">
        <f t="shared" si="13"/>
        <v>638941</v>
      </c>
    </row>
    <row r="95" spans="1:15" x14ac:dyDescent="0.2">
      <c r="A95" s="2">
        <v>8000</v>
      </c>
      <c r="B95" t="s">
        <v>177</v>
      </c>
      <c r="C95" s="916">
        <v>2394810</v>
      </c>
      <c r="D95" s="916">
        <v>0</v>
      </c>
      <c r="E95" s="916">
        <v>456578</v>
      </c>
      <c r="F95" s="916">
        <v>3133356</v>
      </c>
      <c r="G95" s="916">
        <v>0</v>
      </c>
      <c r="H95" s="916">
        <v>279903</v>
      </c>
      <c r="I95" s="916">
        <v>5000</v>
      </c>
      <c r="J95" s="916">
        <v>383694</v>
      </c>
      <c r="K95" s="916">
        <v>5000</v>
      </c>
      <c r="L95" s="916">
        <v>781362</v>
      </c>
      <c r="M95" s="916">
        <v>2368147</v>
      </c>
      <c r="N95" s="916">
        <v>0</v>
      </c>
      <c r="O95" s="916">
        <f t="shared" si="13"/>
        <v>9807850</v>
      </c>
    </row>
    <row r="96" spans="1:15" x14ac:dyDescent="0.2">
      <c r="C96" s="916"/>
      <c r="D96" s="916"/>
      <c r="E96" s="916"/>
      <c r="F96" s="916"/>
      <c r="G96" s="916"/>
      <c r="H96" s="916"/>
      <c r="I96" s="916"/>
      <c r="J96" s="916"/>
      <c r="K96" s="916"/>
      <c r="L96" s="916"/>
      <c r="M96" s="916"/>
      <c r="N96" s="916"/>
      <c r="O96" s="916"/>
    </row>
    <row r="97" spans="1:15" s="2" customFormat="1" x14ac:dyDescent="0.2">
      <c r="A97" s="53"/>
      <c r="B97" s="2" t="s">
        <v>308</v>
      </c>
      <c r="C97" s="931"/>
      <c r="D97" s="931"/>
      <c r="E97" s="931"/>
      <c r="F97" s="931"/>
      <c r="G97" s="931"/>
      <c r="H97" s="931"/>
      <c r="I97" s="931"/>
      <c r="J97" s="931"/>
      <c r="K97" s="931"/>
      <c r="L97" s="931"/>
      <c r="M97" s="931"/>
      <c r="N97" s="931"/>
      <c r="O97" s="931"/>
    </row>
    <row r="98" spans="1:15" hidden="1" x14ac:dyDescent="0.2">
      <c r="B98" t="s">
        <v>179</v>
      </c>
      <c r="C98" s="916">
        <v>0</v>
      </c>
      <c r="D98" s="916">
        <v>0</v>
      </c>
      <c r="E98" s="916">
        <v>0</v>
      </c>
      <c r="F98" s="916">
        <v>0</v>
      </c>
      <c r="G98" s="916">
        <v>0</v>
      </c>
      <c r="H98" s="916">
        <v>0</v>
      </c>
      <c r="I98" s="916">
        <v>0</v>
      </c>
      <c r="J98" s="916">
        <v>0</v>
      </c>
      <c r="K98" s="916">
        <v>0</v>
      </c>
      <c r="L98" s="916">
        <v>0</v>
      </c>
      <c r="M98" s="916">
        <v>0</v>
      </c>
      <c r="N98" s="916">
        <v>0</v>
      </c>
      <c r="O98" s="916">
        <f t="shared" ref="O98:O161" si="14">SUM(C98:N98)</f>
        <v>0</v>
      </c>
    </row>
    <row r="99" spans="1:15" hidden="1" x14ac:dyDescent="0.2">
      <c r="B99" t="s">
        <v>145</v>
      </c>
      <c r="C99" s="916">
        <v>0</v>
      </c>
      <c r="D99" s="916">
        <v>0</v>
      </c>
      <c r="E99" s="916">
        <v>0</v>
      </c>
      <c r="F99" s="916">
        <v>0</v>
      </c>
      <c r="G99" s="916">
        <v>0</v>
      </c>
      <c r="H99" s="916">
        <v>0</v>
      </c>
      <c r="I99" s="916">
        <v>0</v>
      </c>
      <c r="J99" s="916">
        <v>0</v>
      </c>
      <c r="K99" s="916">
        <v>0</v>
      </c>
      <c r="L99" s="916">
        <v>0</v>
      </c>
      <c r="M99" s="916">
        <v>0</v>
      </c>
      <c r="N99" s="916">
        <v>0</v>
      </c>
      <c r="O99" s="916">
        <f t="shared" si="14"/>
        <v>0</v>
      </c>
    </row>
    <row r="100" spans="1:15" hidden="1" x14ac:dyDescent="0.2">
      <c r="B100" t="s">
        <v>180</v>
      </c>
      <c r="C100" s="916">
        <v>0</v>
      </c>
      <c r="D100" s="916">
        <v>0</v>
      </c>
      <c r="E100" s="916">
        <v>0</v>
      </c>
      <c r="F100" s="916">
        <v>0</v>
      </c>
      <c r="G100" s="916">
        <v>0</v>
      </c>
      <c r="H100" s="916">
        <v>0</v>
      </c>
      <c r="I100" s="916">
        <v>0</v>
      </c>
      <c r="J100" s="916">
        <v>0</v>
      </c>
      <c r="K100" s="916">
        <v>0</v>
      </c>
      <c r="L100" s="916">
        <v>0</v>
      </c>
      <c r="M100" s="916">
        <v>0</v>
      </c>
      <c r="N100" s="916">
        <v>0</v>
      </c>
      <c r="O100" s="916">
        <f t="shared" si="14"/>
        <v>0</v>
      </c>
    </row>
    <row r="101" spans="1:15" hidden="1" x14ac:dyDescent="0.2">
      <c r="B101" t="s">
        <v>181</v>
      </c>
      <c r="C101" s="916">
        <v>0</v>
      </c>
      <c r="D101" s="916">
        <v>0</v>
      </c>
      <c r="E101" s="916">
        <v>0</v>
      </c>
      <c r="F101" s="916">
        <v>0</v>
      </c>
      <c r="G101" s="916">
        <v>0</v>
      </c>
      <c r="H101" s="916">
        <v>0</v>
      </c>
      <c r="I101" s="916">
        <v>0</v>
      </c>
      <c r="J101" s="916">
        <v>0</v>
      </c>
      <c r="K101" s="916">
        <v>0</v>
      </c>
      <c r="L101" s="916">
        <v>0</v>
      </c>
      <c r="M101" s="916">
        <v>0</v>
      </c>
      <c r="N101" s="916">
        <v>0</v>
      </c>
      <c r="O101" s="916">
        <f t="shared" si="14"/>
        <v>0</v>
      </c>
    </row>
    <row r="102" spans="1:15" x14ac:dyDescent="0.2">
      <c r="B102" t="s">
        <v>182</v>
      </c>
      <c r="C102" s="916">
        <v>0</v>
      </c>
      <c r="D102" s="916">
        <v>3067829</v>
      </c>
      <c r="E102" s="916">
        <v>0</v>
      </c>
      <c r="F102" s="916">
        <v>0</v>
      </c>
      <c r="G102" s="916">
        <v>0</v>
      </c>
      <c r="H102" s="916">
        <v>0</v>
      </c>
      <c r="I102" s="916">
        <v>0</v>
      </c>
      <c r="J102" s="916">
        <v>0</v>
      </c>
      <c r="K102" s="916">
        <v>0</v>
      </c>
      <c r="L102" s="916">
        <v>0</v>
      </c>
      <c r="M102" s="916">
        <v>0</v>
      </c>
      <c r="N102" s="916">
        <v>0</v>
      </c>
      <c r="O102" s="916">
        <f t="shared" si="14"/>
        <v>3067829</v>
      </c>
    </row>
    <row r="103" spans="1:15" hidden="1" x14ac:dyDescent="0.2">
      <c r="B103" t="s">
        <v>183</v>
      </c>
      <c r="C103" s="916">
        <v>0</v>
      </c>
      <c r="D103" s="916">
        <v>0</v>
      </c>
      <c r="E103" s="916">
        <v>0</v>
      </c>
      <c r="F103" s="916">
        <v>0</v>
      </c>
      <c r="G103" s="916">
        <v>0</v>
      </c>
      <c r="H103" s="916">
        <v>0</v>
      </c>
      <c r="I103" s="916">
        <v>0</v>
      </c>
      <c r="J103" s="916">
        <v>0</v>
      </c>
      <c r="K103" s="916">
        <v>0</v>
      </c>
      <c r="L103" s="916">
        <v>0</v>
      </c>
      <c r="M103" s="916">
        <v>0</v>
      </c>
      <c r="N103" s="916">
        <v>0</v>
      </c>
      <c r="O103" s="916">
        <f t="shared" si="14"/>
        <v>0</v>
      </c>
    </row>
    <row r="104" spans="1:15" hidden="1" x14ac:dyDescent="0.2">
      <c r="B104" t="s">
        <v>184</v>
      </c>
      <c r="C104" s="916">
        <v>0</v>
      </c>
      <c r="D104" s="916">
        <v>0</v>
      </c>
      <c r="E104" s="916">
        <v>0</v>
      </c>
      <c r="F104" s="916">
        <v>0</v>
      </c>
      <c r="G104" s="916">
        <v>0</v>
      </c>
      <c r="H104" s="916">
        <v>0</v>
      </c>
      <c r="I104" s="916">
        <v>0</v>
      </c>
      <c r="J104" s="916">
        <v>0</v>
      </c>
      <c r="K104" s="916">
        <v>0</v>
      </c>
      <c r="L104" s="916">
        <v>0</v>
      </c>
      <c r="M104" s="916">
        <v>0</v>
      </c>
      <c r="N104" s="916">
        <v>0</v>
      </c>
      <c r="O104" s="916">
        <f t="shared" si="14"/>
        <v>0</v>
      </c>
    </row>
    <row r="105" spans="1:15" hidden="1" x14ac:dyDescent="0.2">
      <c r="B105" t="s">
        <v>185</v>
      </c>
      <c r="C105" s="916">
        <v>0</v>
      </c>
      <c r="D105" s="916">
        <v>0</v>
      </c>
      <c r="E105" s="916">
        <v>0</v>
      </c>
      <c r="F105" s="916">
        <v>0</v>
      </c>
      <c r="G105" s="916">
        <v>0</v>
      </c>
      <c r="H105" s="916">
        <v>0</v>
      </c>
      <c r="I105" s="916">
        <v>0</v>
      </c>
      <c r="J105" s="916">
        <v>0</v>
      </c>
      <c r="K105" s="916">
        <v>0</v>
      </c>
      <c r="L105" s="916">
        <v>0</v>
      </c>
      <c r="M105" s="916">
        <v>0</v>
      </c>
      <c r="N105" s="916">
        <v>0</v>
      </c>
      <c r="O105" s="916">
        <f t="shared" si="14"/>
        <v>0</v>
      </c>
    </row>
    <row r="106" spans="1:15" hidden="1" x14ac:dyDescent="0.2">
      <c r="B106" t="s">
        <v>186</v>
      </c>
      <c r="C106" s="916">
        <v>0</v>
      </c>
      <c r="D106" s="916">
        <v>0</v>
      </c>
      <c r="E106" s="916">
        <v>0</v>
      </c>
      <c r="F106" s="916">
        <v>0</v>
      </c>
      <c r="G106" s="916">
        <v>0</v>
      </c>
      <c r="H106" s="916">
        <v>0</v>
      </c>
      <c r="I106" s="916">
        <v>0</v>
      </c>
      <c r="J106" s="916">
        <v>0</v>
      </c>
      <c r="K106" s="916">
        <v>0</v>
      </c>
      <c r="L106" s="916">
        <v>0</v>
      </c>
      <c r="M106" s="916">
        <v>0</v>
      </c>
      <c r="N106" s="916">
        <v>0</v>
      </c>
      <c r="O106" s="916">
        <f t="shared" si="14"/>
        <v>0</v>
      </c>
    </row>
    <row r="107" spans="1:15" hidden="1" x14ac:dyDescent="0.2">
      <c r="B107" t="s">
        <v>187</v>
      </c>
      <c r="C107" s="916">
        <v>0</v>
      </c>
      <c r="D107" s="916">
        <v>0</v>
      </c>
      <c r="E107" s="916">
        <v>0</v>
      </c>
      <c r="F107" s="916">
        <v>0</v>
      </c>
      <c r="G107" s="916">
        <v>0</v>
      </c>
      <c r="H107" s="916">
        <v>0</v>
      </c>
      <c r="I107" s="916">
        <v>0</v>
      </c>
      <c r="J107" s="916">
        <v>0</v>
      </c>
      <c r="K107" s="916">
        <v>0</v>
      </c>
      <c r="L107" s="916">
        <v>0</v>
      </c>
      <c r="M107" s="916">
        <v>0</v>
      </c>
      <c r="N107" s="916">
        <v>0</v>
      </c>
      <c r="O107" s="916">
        <f t="shared" si="14"/>
        <v>0</v>
      </c>
    </row>
    <row r="108" spans="1:15" x14ac:dyDescent="0.2">
      <c r="B108" t="s">
        <v>188</v>
      </c>
      <c r="C108" s="916">
        <v>0</v>
      </c>
      <c r="D108" s="916">
        <v>0</v>
      </c>
      <c r="E108" s="916">
        <v>0</v>
      </c>
      <c r="F108" s="916">
        <v>0</v>
      </c>
      <c r="G108" s="916">
        <v>0</v>
      </c>
      <c r="H108" s="916">
        <v>0</v>
      </c>
      <c r="I108" s="916">
        <v>0</v>
      </c>
      <c r="J108" s="916">
        <v>0</v>
      </c>
      <c r="K108" s="916">
        <v>0</v>
      </c>
      <c r="L108" s="916">
        <v>0</v>
      </c>
      <c r="M108" s="916">
        <v>0</v>
      </c>
      <c r="N108" s="916">
        <v>-100000</v>
      </c>
      <c r="O108" s="916">
        <f t="shared" si="14"/>
        <v>-100000</v>
      </c>
    </row>
    <row r="109" spans="1:15" hidden="1" x14ac:dyDescent="0.2">
      <c r="B109" t="s">
        <v>189</v>
      </c>
      <c r="C109" s="916">
        <v>0</v>
      </c>
      <c r="D109" s="916">
        <v>0</v>
      </c>
      <c r="E109" s="916">
        <v>0</v>
      </c>
      <c r="F109" s="916">
        <v>0</v>
      </c>
      <c r="G109" s="916">
        <v>0</v>
      </c>
      <c r="H109" s="916">
        <v>0</v>
      </c>
      <c r="I109" s="916">
        <v>0</v>
      </c>
      <c r="J109" s="916">
        <v>0</v>
      </c>
      <c r="K109" s="916">
        <v>0</v>
      </c>
      <c r="L109" s="916">
        <v>0</v>
      </c>
      <c r="M109" s="916">
        <v>0</v>
      </c>
      <c r="N109" s="916">
        <v>0</v>
      </c>
      <c r="O109" s="916">
        <f t="shared" si="14"/>
        <v>0</v>
      </c>
    </row>
    <row r="110" spans="1:15" hidden="1" x14ac:dyDescent="0.2">
      <c r="B110" t="s">
        <v>190</v>
      </c>
      <c r="C110" s="916">
        <v>0</v>
      </c>
      <c r="D110" s="916">
        <v>0</v>
      </c>
      <c r="E110" s="916">
        <v>0</v>
      </c>
      <c r="F110" s="916">
        <v>0</v>
      </c>
      <c r="G110" s="916">
        <v>0</v>
      </c>
      <c r="H110" s="916">
        <v>0</v>
      </c>
      <c r="I110" s="916">
        <v>0</v>
      </c>
      <c r="J110" s="916">
        <v>0</v>
      </c>
      <c r="K110" s="916">
        <v>0</v>
      </c>
      <c r="L110" s="916">
        <v>0</v>
      </c>
      <c r="M110" s="916">
        <v>0</v>
      </c>
      <c r="N110" s="916">
        <v>0</v>
      </c>
      <c r="O110" s="916">
        <f t="shared" si="14"/>
        <v>0</v>
      </c>
    </row>
    <row r="111" spans="1:15" hidden="1" x14ac:dyDescent="0.2">
      <c r="B111" t="s">
        <v>191</v>
      </c>
      <c r="C111" s="916">
        <v>0</v>
      </c>
      <c r="D111" s="916">
        <v>0</v>
      </c>
      <c r="E111" s="916">
        <v>0</v>
      </c>
      <c r="F111" s="916">
        <v>0</v>
      </c>
      <c r="G111" s="916">
        <v>0</v>
      </c>
      <c r="H111" s="916">
        <v>0</v>
      </c>
      <c r="I111" s="916">
        <v>0</v>
      </c>
      <c r="J111" s="916">
        <v>0</v>
      </c>
      <c r="K111" s="916">
        <v>0</v>
      </c>
      <c r="L111" s="916">
        <v>0</v>
      </c>
      <c r="M111" s="916">
        <v>0</v>
      </c>
      <c r="N111" s="916">
        <v>0</v>
      </c>
      <c r="O111" s="916">
        <f t="shared" si="14"/>
        <v>0</v>
      </c>
    </row>
    <row r="112" spans="1:15" hidden="1" x14ac:dyDescent="0.2">
      <c r="B112" t="s">
        <v>192</v>
      </c>
      <c r="C112" s="916">
        <v>0</v>
      </c>
      <c r="D112" s="916">
        <v>0</v>
      </c>
      <c r="E112" s="916">
        <v>0</v>
      </c>
      <c r="F112" s="916">
        <v>0</v>
      </c>
      <c r="G112" s="916">
        <v>0</v>
      </c>
      <c r="H112" s="916">
        <v>0</v>
      </c>
      <c r="I112" s="916">
        <v>0</v>
      </c>
      <c r="J112" s="916">
        <v>0</v>
      </c>
      <c r="K112" s="916">
        <v>0</v>
      </c>
      <c r="L112" s="916">
        <v>0</v>
      </c>
      <c r="M112" s="916">
        <v>0</v>
      </c>
      <c r="N112" s="916">
        <v>0</v>
      </c>
      <c r="O112" s="916">
        <f t="shared" si="14"/>
        <v>0</v>
      </c>
    </row>
    <row r="113" spans="2:15" hidden="1" x14ac:dyDescent="0.2">
      <c r="B113" t="s">
        <v>193</v>
      </c>
      <c r="C113" s="916">
        <v>0</v>
      </c>
      <c r="D113" s="916">
        <v>0</v>
      </c>
      <c r="E113" s="916">
        <v>0</v>
      </c>
      <c r="F113" s="916">
        <v>0</v>
      </c>
      <c r="G113" s="916">
        <v>0</v>
      </c>
      <c r="H113" s="916">
        <v>0</v>
      </c>
      <c r="I113" s="916">
        <v>0</v>
      </c>
      <c r="J113" s="916">
        <v>0</v>
      </c>
      <c r="K113" s="916">
        <v>0</v>
      </c>
      <c r="L113" s="916">
        <v>0</v>
      </c>
      <c r="M113" s="916">
        <v>0</v>
      </c>
      <c r="N113" s="916">
        <v>0</v>
      </c>
      <c r="O113" s="916">
        <f t="shared" si="14"/>
        <v>0</v>
      </c>
    </row>
    <row r="114" spans="2:15" hidden="1" x14ac:dyDescent="0.2">
      <c r="B114" t="s">
        <v>194</v>
      </c>
      <c r="C114" s="916">
        <v>0</v>
      </c>
      <c r="D114" s="916">
        <v>0</v>
      </c>
      <c r="E114" s="916">
        <v>0</v>
      </c>
      <c r="F114" s="916">
        <v>0</v>
      </c>
      <c r="G114" s="916">
        <v>0</v>
      </c>
      <c r="H114" s="916">
        <v>0</v>
      </c>
      <c r="I114" s="916">
        <v>0</v>
      </c>
      <c r="J114" s="916">
        <v>0</v>
      </c>
      <c r="K114" s="916">
        <v>0</v>
      </c>
      <c r="L114" s="916">
        <v>0</v>
      </c>
      <c r="M114" s="916">
        <v>0</v>
      </c>
      <c r="N114" s="916">
        <v>0</v>
      </c>
      <c r="O114" s="916">
        <f t="shared" si="14"/>
        <v>0</v>
      </c>
    </row>
    <row r="115" spans="2:15" hidden="1" x14ac:dyDescent="0.2">
      <c r="B115" t="s">
        <v>195</v>
      </c>
      <c r="C115" s="916">
        <v>0</v>
      </c>
      <c r="D115" s="916">
        <v>0</v>
      </c>
      <c r="E115" s="916">
        <v>0</v>
      </c>
      <c r="F115" s="916">
        <v>0</v>
      </c>
      <c r="G115" s="916">
        <v>0</v>
      </c>
      <c r="H115" s="916">
        <v>0</v>
      </c>
      <c r="I115" s="916">
        <v>0</v>
      </c>
      <c r="J115" s="916">
        <v>0</v>
      </c>
      <c r="K115" s="916">
        <v>0</v>
      </c>
      <c r="L115" s="916">
        <v>0</v>
      </c>
      <c r="M115" s="916">
        <v>0</v>
      </c>
      <c r="N115" s="916">
        <v>0</v>
      </c>
      <c r="O115" s="916">
        <f t="shared" si="14"/>
        <v>0</v>
      </c>
    </row>
    <row r="116" spans="2:15" hidden="1" x14ac:dyDescent="0.2">
      <c r="B116" t="s">
        <v>196</v>
      </c>
      <c r="C116" s="916">
        <v>0</v>
      </c>
      <c r="D116" s="916">
        <v>0</v>
      </c>
      <c r="E116" s="916">
        <v>0</v>
      </c>
      <c r="F116" s="916">
        <v>0</v>
      </c>
      <c r="G116" s="916">
        <v>0</v>
      </c>
      <c r="H116" s="916">
        <v>0</v>
      </c>
      <c r="I116" s="916">
        <v>0</v>
      </c>
      <c r="J116" s="916">
        <v>0</v>
      </c>
      <c r="K116" s="916">
        <v>0</v>
      </c>
      <c r="L116" s="916">
        <v>0</v>
      </c>
      <c r="M116" s="916">
        <v>0</v>
      </c>
      <c r="N116" s="916">
        <v>0</v>
      </c>
      <c r="O116" s="916">
        <f t="shared" si="14"/>
        <v>0</v>
      </c>
    </row>
    <row r="117" spans="2:15" hidden="1" x14ac:dyDescent="0.2">
      <c r="B117" t="s">
        <v>197</v>
      </c>
      <c r="C117" s="916">
        <v>0</v>
      </c>
      <c r="D117" s="916">
        <v>0</v>
      </c>
      <c r="E117" s="916">
        <v>0</v>
      </c>
      <c r="F117" s="916">
        <v>0</v>
      </c>
      <c r="G117" s="916">
        <v>0</v>
      </c>
      <c r="H117" s="916">
        <v>0</v>
      </c>
      <c r="I117" s="916">
        <v>0</v>
      </c>
      <c r="J117" s="916">
        <v>0</v>
      </c>
      <c r="K117" s="916">
        <v>0</v>
      </c>
      <c r="L117" s="916">
        <v>0</v>
      </c>
      <c r="M117" s="916">
        <v>0</v>
      </c>
      <c r="N117" s="916">
        <v>0</v>
      </c>
      <c r="O117" s="916">
        <f t="shared" si="14"/>
        <v>0</v>
      </c>
    </row>
    <row r="118" spans="2:15" hidden="1" x14ac:dyDescent="0.2">
      <c r="B118" t="s">
        <v>198</v>
      </c>
      <c r="C118" s="916">
        <v>0</v>
      </c>
      <c r="D118" s="916">
        <v>0</v>
      </c>
      <c r="E118" s="916">
        <v>0</v>
      </c>
      <c r="F118" s="916">
        <v>0</v>
      </c>
      <c r="G118" s="916">
        <v>0</v>
      </c>
      <c r="H118" s="916">
        <v>0</v>
      </c>
      <c r="I118" s="916">
        <v>0</v>
      </c>
      <c r="J118" s="916">
        <v>0</v>
      </c>
      <c r="K118" s="916">
        <v>0</v>
      </c>
      <c r="L118" s="916">
        <v>0</v>
      </c>
      <c r="M118" s="916">
        <v>0</v>
      </c>
      <c r="N118" s="916">
        <v>0</v>
      </c>
      <c r="O118" s="916">
        <f t="shared" si="14"/>
        <v>0</v>
      </c>
    </row>
    <row r="119" spans="2:15" hidden="1" x14ac:dyDescent="0.2">
      <c r="B119" t="s">
        <v>199</v>
      </c>
      <c r="C119" s="916">
        <v>0</v>
      </c>
      <c r="D119" s="916">
        <v>0</v>
      </c>
      <c r="E119" s="916">
        <v>0</v>
      </c>
      <c r="F119" s="916">
        <v>0</v>
      </c>
      <c r="G119" s="916">
        <v>0</v>
      </c>
      <c r="H119" s="916">
        <v>0</v>
      </c>
      <c r="I119" s="916">
        <v>0</v>
      </c>
      <c r="J119" s="916">
        <v>0</v>
      </c>
      <c r="K119" s="916">
        <v>0</v>
      </c>
      <c r="L119" s="916">
        <v>0</v>
      </c>
      <c r="M119" s="916">
        <v>0</v>
      </c>
      <c r="N119" s="916">
        <v>0</v>
      </c>
      <c r="O119" s="916">
        <f t="shared" si="14"/>
        <v>0</v>
      </c>
    </row>
    <row r="120" spans="2:15" hidden="1" x14ac:dyDescent="0.2">
      <c r="B120" t="s">
        <v>200</v>
      </c>
      <c r="C120" s="916">
        <v>0</v>
      </c>
      <c r="D120" s="916">
        <v>0</v>
      </c>
      <c r="E120" s="916">
        <v>0</v>
      </c>
      <c r="F120" s="916">
        <v>0</v>
      </c>
      <c r="G120" s="916">
        <v>0</v>
      </c>
      <c r="H120" s="916">
        <v>0</v>
      </c>
      <c r="I120" s="916">
        <v>0</v>
      </c>
      <c r="J120" s="916">
        <v>0</v>
      </c>
      <c r="K120" s="916">
        <v>0</v>
      </c>
      <c r="L120" s="916">
        <v>0</v>
      </c>
      <c r="M120" s="916">
        <v>0</v>
      </c>
      <c r="N120" s="916">
        <v>0</v>
      </c>
      <c r="O120" s="916">
        <f t="shared" si="14"/>
        <v>0</v>
      </c>
    </row>
    <row r="121" spans="2:15" hidden="1" x14ac:dyDescent="0.2">
      <c r="B121" t="s">
        <v>201</v>
      </c>
      <c r="C121" s="916">
        <v>0</v>
      </c>
      <c r="D121" s="916">
        <v>0</v>
      </c>
      <c r="E121" s="916">
        <v>0</v>
      </c>
      <c r="F121" s="916">
        <v>0</v>
      </c>
      <c r="G121" s="916">
        <v>0</v>
      </c>
      <c r="H121" s="916">
        <v>0</v>
      </c>
      <c r="I121" s="916">
        <v>0</v>
      </c>
      <c r="J121" s="916">
        <v>0</v>
      </c>
      <c r="K121" s="916">
        <v>0</v>
      </c>
      <c r="L121" s="916">
        <v>0</v>
      </c>
      <c r="M121" s="916">
        <v>0</v>
      </c>
      <c r="N121" s="916">
        <v>0</v>
      </c>
      <c r="O121" s="916">
        <f t="shared" si="14"/>
        <v>0</v>
      </c>
    </row>
    <row r="122" spans="2:15" hidden="1" x14ac:dyDescent="0.2">
      <c r="B122" t="s">
        <v>202</v>
      </c>
      <c r="C122" s="916">
        <v>0</v>
      </c>
      <c r="D122" s="916">
        <v>0</v>
      </c>
      <c r="E122" s="916">
        <v>0</v>
      </c>
      <c r="F122" s="916">
        <v>0</v>
      </c>
      <c r="G122" s="916">
        <v>0</v>
      </c>
      <c r="H122" s="916">
        <v>0</v>
      </c>
      <c r="I122" s="916">
        <v>0</v>
      </c>
      <c r="J122" s="916">
        <v>0</v>
      </c>
      <c r="K122" s="916">
        <v>0</v>
      </c>
      <c r="L122" s="916">
        <v>0</v>
      </c>
      <c r="M122" s="916">
        <v>0</v>
      </c>
      <c r="N122" s="916">
        <v>0</v>
      </c>
      <c r="O122" s="916">
        <f t="shared" si="14"/>
        <v>0</v>
      </c>
    </row>
    <row r="123" spans="2:15" hidden="1" x14ac:dyDescent="0.2">
      <c r="B123" t="s">
        <v>203</v>
      </c>
      <c r="C123" s="916">
        <v>0</v>
      </c>
      <c r="D123" s="916">
        <v>0</v>
      </c>
      <c r="E123" s="916">
        <v>0</v>
      </c>
      <c r="F123" s="916">
        <v>0</v>
      </c>
      <c r="G123" s="916">
        <v>0</v>
      </c>
      <c r="H123" s="916">
        <v>0</v>
      </c>
      <c r="I123" s="916">
        <v>0</v>
      </c>
      <c r="J123" s="916">
        <v>0</v>
      </c>
      <c r="K123" s="916">
        <v>0</v>
      </c>
      <c r="L123" s="916">
        <v>0</v>
      </c>
      <c r="M123" s="916">
        <v>0</v>
      </c>
      <c r="N123" s="916">
        <v>0</v>
      </c>
      <c r="O123" s="916">
        <f t="shared" si="14"/>
        <v>0</v>
      </c>
    </row>
    <row r="124" spans="2:15" hidden="1" x14ac:dyDescent="0.2">
      <c r="B124" t="s">
        <v>204</v>
      </c>
      <c r="C124" s="916">
        <v>0</v>
      </c>
      <c r="D124" s="916">
        <v>0</v>
      </c>
      <c r="E124" s="916">
        <v>0</v>
      </c>
      <c r="F124" s="916">
        <v>0</v>
      </c>
      <c r="G124" s="916">
        <v>0</v>
      </c>
      <c r="H124" s="916">
        <v>0</v>
      </c>
      <c r="I124" s="916">
        <v>0</v>
      </c>
      <c r="J124" s="916">
        <v>0</v>
      </c>
      <c r="K124" s="916">
        <v>0</v>
      </c>
      <c r="L124" s="916">
        <v>0</v>
      </c>
      <c r="M124" s="916">
        <v>0</v>
      </c>
      <c r="N124" s="916">
        <v>0</v>
      </c>
      <c r="O124" s="916">
        <f t="shared" si="14"/>
        <v>0</v>
      </c>
    </row>
    <row r="125" spans="2:15" hidden="1" x14ac:dyDescent="0.2">
      <c r="B125" t="s">
        <v>205</v>
      </c>
      <c r="C125" s="916">
        <v>0</v>
      </c>
      <c r="D125" s="916">
        <v>0</v>
      </c>
      <c r="E125" s="916">
        <v>0</v>
      </c>
      <c r="F125" s="916">
        <v>0</v>
      </c>
      <c r="G125" s="916">
        <v>0</v>
      </c>
      <c r="H125" s="916">
        <v>0</v>
      </c>
      <c r="I125" s="916">
        <v>0</v>
      </c>
      <c r="J125" s="916">
        <v>0</v>
      </c>
      <c r="K125" s="916">
        <v>0</v>
      </c>
      <c r="L125" s="916">
        <v>0</v>
      </c>
      <c r="M125" s="916">
        <v>0</v>
      </c>
      <c r="N125" s="916">
        <v>0</v>
      </c>
      <c r="O125" s="916">
        <f t="shared" si="14"/>
        <v>0</v>
      </c>
    </row>
    <row r="126" spans="2:15" hidden="1" x14ac:dyDescent="0.2">
      <c r="B126" t="s">
        <v>206</v>
      </c>
      <c r="C126" s="916">
        <v>0</v>
      </c>
      <c r="D126" s="916">
        <v>0</v>
      </c>
      <c r="E126" s="916">
        <v>0</v>
      </c>
      <c r="F126" s="916">
        <v>0</v>
      </c>
      <c r="G126" s="916">
        <v>0</v>
      </c>
      <c r="H126" s="916">
        <v>0</v>
      </c>
      <c r="I126" s="916">
        <v>0</v>
      </c>
      <c r="J126" s="916">
        <v>0</v>
      </c>
      <c r="K126" s="916">
        <v>0</v>
      </c>
      <c r="L126" s="916">
        <v>0</v>
      </c>
      <c r="M126" s="916">
        <v>0</v>
      </c>
      <c r="N126" s="916">
        <v>0</v>
      </c>
      <c r="O126" s="916">
        <f t="shared" si="14"/>
        <v>0</v>
      </c>
    </row>
    <row r="127" spans="2:15" hidden="1" x14ac:dyDescent="0.2">
      <c r="B127" t="s">
        <v>207</v>
      </c>
      <c r="C127" s="916">
        <v>0</v>
      </c>
      <c r="D127" s="916">
        <v>0</v>
      </c>
      <c r="E127" s="916">
        <v>0</v>
      </c>
      <c r="F127" s="916">
        <v>0</v>
      </c>
      <c r="G127" s="916">
        <v>0</v>
      </c>
      <c r="H127" s="916">
        <v>0</v>
      </c>
      <c r="I127" s="916">
        <v>0</v>
      </c>
      <c r="J127" s="916">
        <v>0</v>
      </c>
      <c r="K127" s="916">
        <v>0</v>
      </c>
      <c r="L127" s="916">
        <v>0</v>
      </c>
      <c r="M127" s="916">
        <v>0</v>
      </c>
      <c r="N127" s="916">
        <v>0</v>
      </c>
      <c r="O127" s="916">
        <f t="shared" si="14"/>
        <v>0</v>
      </c>
    </row>
    <row r="128" spans="2:15" hidden="1" x14ac:dyDescent="0.2">
      <c r="B128" t="s">
        <v>208</v>
      </c>
      <c r="C128" s="916">
        <v>0</v>
      </c>
      <c r="D128" s="916">
        <v>0</v>
      </c>
      <c r="E128" s="916">
        <v>0</v>
      </c>
      <c r="F128" s="916">
        <v>0</v>
      </c>
      <c r="G128" s="916">
        <v>0</v>
      </c>
      <c r="H128" s="916">
        <v>0</v>
      </c>
      <c r="I128" s="916">
        <v>0</v>
      </c>
      <c r="J128" s="916">
        <v>0</v>
      </c>
      <c r="K128" s="916">
        <v>0</v>
      </c>
      <c r="L128" s="916">
        <v>0</v>
      </c>
      <c r="M128" s="916">
        <v>0</v>
      </c>
      <c r="N128" s="916">
        <v>0</v>
      </c>
      <c r="O128" s="916">
        <f t="shared" si="14"/>
        <v>0</v>
      </c>
    </row>
    <row r="129" spans="1:15" hidden="1" x14ac:dyDescent="0.2">
      <c r="B129" t="s">
        <v>209</v>
      </c>
      <c r="C129" s="916">
        <v>0</v>
      </c>
      <c r="D129" s="916">
        <v>0</v>
      </c>
      <c r="E129" s="916">
        <v>0</v>
      </c>
      <c r="F129" s="916">
        <v>0</v>
      </c>
      <c r="G129" s="916">
        <v>0</v>
      </c>
      <c r="H129" s="916">
        <v>0</v>
      </c>
      <c r="I129" s="916">
        <v>0</v>
      </c>
      <c r="J129" s="916">
        <v>0</v>
      </c>
      <c r="K129" s="916">
        <v>0</v>
      </c>
      <c r="L129" s="916">
        <v>0</v>
      </c>
      <c r="M129" s="916">
        <v>0</v>
      </c>
      <c r="N129" s="916">
        <v>0</v>
      </c>
      <c r="O129" s="916">
        <f t="shared" si="14"/>
        <v>0</v>
      </c>
    </row>
    <row r="130" spans="1:15" hidden="1" x14ac:dyDescent="0.2">
      <c r="B130" t="s">
        <v>210</v>
      </c>
      <c r="C130" s="916">
        <v>0</v>
      </c>
      <c r="D130" s="916">
        <v>0</v>
      </c>
      <c r="E130" s="916">
        <v>0</v>
      </c>
      <c r="F130" s="916">
        <v>0</v>
      </c>
      <c r="G130" s="916">
        <v>0</v>
      </c>
      <c r="H130" s="916">
        <v>0</v>
      </c>
      <c r="I130" s="916">
        <v>0</v>
      </c>
      <c r="J130" s="916">
        <v>0</v>
      </c>
      <c r="K130" s="916">
        <v>0</v>
      </c>
      <c r="L130" s="916">
        <v>0</v>
      </c>
      <c r="M130" s="916">
        <v>0</v>
      </c>
      <c r="N130" s="916">
        <v>0</v>
      </c>
      <c r="O130" s="916">
        <f t="shared" si="14"/>
        <v>0</v>
      </c>
    </row>
    <row r="131" spans="1:15" hidden="1" x14ac:dyDescent="0.2">
      <c r="B131" t="s">
        <v>211</v>
      </c>
      <c r="C131" s="916">
        <v>0</v>
      </c>
      <c r="D131" s="916">
        <v>0</v>
      </c>
      <c r="E131" s="916">
        <v>0</v>
      </c>
      <c r="F131" s="916">
        <v>0</v>
      </c>
      <c r="G131" s="916">
        <v>0</v>
      </c>
      <c r="H131" s="916">
        <v>0</v>
      </c>
      <c r="I131" s="916">
        <v>0</v>
      </c>
      <c r="J131" s="916">
        <v>0</v>
      </c>
      <c r="K131" s="916">
        <v>0</v>
      </c>
      <c r="L131" s="916">
        <v>0</v>
      </c>
      <c r="M131" s="916">
        <v>0</v>
      </c>
      <c r="N131" s="916">
        <v>0</v>
      </c>
      <c r="O131" s="916">
        <f t="shared" si="14"/>
        <v>0</v>
      </c>
    </row>
    <row r="132" spans="1:15" hidden="1" x14ac:dyDescent="0.2">
      <c r="B132" t="s">
        <v>212</v>
      </c>
      <c r="C132" s="916">
        <v>0</v>
      </c>
      <c r="D132" s="916">
        <v>0</v>
      </c>
      <c r="E132" s="916">
        <v>0</v>
      </c>
      <c r="F132" s="916">
        <v>0</v>
      </c>
      <c r="G132" s="916">
        <v>0</v>
      </c>
      <c r="H132" s="916">
        <v>0</v>
      </c>
      <c r="I132" s="916">
        <v>0</v>
      </c>
      <c r="J132" s="916">
        <v>0</v>
      </c>
      <c r="K132" s="916">
        <v>0</v>
      </c>
      <c r="L132" s="916">
        <v>0</v>
      </c>
      <c r="M132" s="916">
        <v>0</v>
      </c>
      <c r="N132" s="916">
        <v>0</v>
      </c>
      <c r="O132" s="916">
        <f t="shared" si="14"/>
        <v>0</v>
      </c>
    </row>
    <row r="133" spans="1:15" hidden="1" x14ac:dyDescent="0.2">
      <c r="B133" t="s">
        <v>213</v>
      </c>
      <c r="C133" s="916">
        <v>0</v>
      </c>
      <c r="D133" s="916">
        <v>0</v>
      </c>
      <c r="E133" s="916">
        <v>0</v>
      </c>
      <c r="F133" s="916">
        <v>0</v>
      </c>
      <c r="G133" s="916">
        <v>0</v>
      </c>
      <c r="H133" s="916">
        <v>0</v>
      </c>
      <c r="I133" s="916">
        <v>0</v>
      </c>
      <c r="J133" s="916">
        <v>0</v>
      </c>
      <c r="K133" s="916">
        <v>0</v>
      </c>
      <c r="L133" s="916">
        <v>0</v>
      </c>
      <c r="M133" s="916">
        <v>0</v>
      </c>
      <c r="N133" s="916">
        <v>0</v>
      </c>
      <c r="O133" s="916">
        <f t="shared" si="14"/>
        <v>0</v>
      </c>
    </row>
    <row r="134" spans="1:15" hidden="1" x14ac:dyDescent="0.2">
      <c r="B134" t="s">
        <v>214</v>
      </c>
      <c r="C134" s="916">
        <v>0</v>
      </c>
      <c r="D134" s="916">
        <v>0</v>
      </c>
      <c r="E134" s="916">
        <v>0</v>
      </c>
      <c r="F134" s="916">
        <v>0</v>
      </c>
      <c r="G134" s="916">
        <v>0</v>
      </c>
      <c r="H134" s="916">
        <v>0</v>
      </c>
      <c r="I134" s="916">
        <v>0</v>
      </c>
      <c r="J134" s="916">
        <v>0</v>
      </c>
      <c r="K134" s="916">
        <v>0</v>
      </c>
      <c r="L134" s="916">
        <v>0</v>
      </c>
      <c r="M134" s="916">
        <v>0</v>
      </c>
      <c r="N134" s="916">
        <v>0</v>
      </c>
      <c r="O134" s="916">
        <f t="shared" si="14"/>
        <v>0</v>
      </c>
    </row>
    <row r="135" spans="1:15" hidden="1" x14ac:dyDescent="0.2">
      <c r="B135" t="s">
        <v>215</v>
      </c>
      <c r="C135" s="916">
        <v>0</v>
      </c>
      <c r="D135" s="916">
        <v>0</v>
      </c>
      <c r="E135" s="916">
        <v>0</v>
      </c>
      <c r="F135" s="916">
        <v>0</v>
      </c>
      <c r="G135" s="916">
        <v>0</v>
      </c>
      <c r="H135" s="916">
        <v>0</v>
      </c>
      <c r="I135" s="916">
        <v>0</v>
      </c>
      <c r="J135" s="916">
        <v>0</v>
      </c>
      <c r="K135" s="916">
        <v>0</v>
      </c>
      <c r="L135" s="916">
        <v>0</v>
      </c>
      <c r="M135" s="916">
        <v>0</v>
      </c>
      <c r="N135" s="916">
        <v>0</v>
      </c>
      <c r="O135" s="916">
        <f t="shared" si="14"/>
        <v>0</v>
      </c>
    </row>
    <row r="136" spans="1:15" hidden="1" x14ac:dyDescent="0.2">
      <c r="B136" t="s">
        <v>216</v>
      </c>
      <c r="C136" s="916">
        <v>0</v>
      </c>
      <c r="D136" s="916">
        <v>0</v>
      </c>
      <c r="E136" s="916">
        <v>0</v>
      </c>
      <c r="F136" s="916">
        <v>0</v>
      </c>
      <c r="G136" s="916">
        <v>0</v>
      </c>
      <c r="H136" s="916">
        <v>0</v>
      </c>
      <c r="I136" s="916">
        <v>0</v>
      </c>
      <c r="J136" s="916">
        <v>0</v>
      </c>
      <c r="K136" s="916">
        <v>0</v>
      </c>
      <c r="L136" s="916">
        <v>0</v>
      </c>
      <c r="M136" s="916">
        <v>0</v>
      </c>
      <c r="N136" s="916">
        <v>0</v>
      </c>
      <c r="O136" s="916">
        <f t="shared" si="14"/>
        <v>0</v>
      </c>
    </row>
    <row r="137" spans="1:15" hidden="1" x14ac:dyDescent="0.2">
      <c r="B137" t="s">
        <v>217</v>
      </c>
      <c r="C137" s="916">
        <v>0</v>
      </c>
      <c r="D137" s="916">
        <v>0</v>
      </c>
      <c r="E137" s="916">
        <v>0</v>
      </c>
      <c r="F137" s="916">
        <v>0</v>
      </c>
      <c r="G137" s="916">
        <v>0</v>
      </c>
      <c r="H137" s="916">
        <v>0</v>
      </c>
      <c r="I137" s="916">
        <v>0</v>
      </c>
      <c r="J137" s="916">
        <v>0</v>
      </c>
      <c r="K137" s="916">
        <v>0</v>
      </c>
      <c r="L137" s="916">
        <v>0</v>
      </c>
      <c r="M137" s="916">
        <v>0</v>
      </c>
      <c r="N137" s="916">
        <v>0</v>
      </c>
      <c r="O137" s="916">
        <f t="shared" si="14"/>
        <v>0</v>
      </c>
    </row>
    <row r="138" spans="1:15" hidden="1" x14ac:dyDescent="0.2">
      <c r="B138" t="s">
        <v>218</v>
      </c>
      <c r="C138" s="916">
        <v>0</v>
      </c>
      <c r="D138" s="916">
        <v>0</v>
      </c>
      <c r="E138" s="916">
        <v>0</v>
      </c>
      <c r="F138" s="916">
        <v>0</v>
      </c>
      <c r="G138" s="916">
        <v>0</v>
      </c>
      <c r="H138" s="916">
        <v>0</v>
      </c>
      <c r="I138" s="916">
        <v>0</v>
      </c>
      <c r="J138" s="916">
        <v>0</v>
      </c>
      <c r="K138" s="916">
        <v>0</v>
      </c>
      <c r="L138" s="916">
        <v>0</v>
      </c>
      <c r="M138" s="916">
        <v>0</v>
      </c>
      <c r="N138" s="916">
        <v>0</v>
      </c>
      <c r="O138" s="916">
        <f t="shared" si="14"/>
        <v>0</v>
      </c>
    </row>
    <row r="139" spans="1:15" hidden="1" x14ac:dyDescent="0.2">
      <c r="B139" t="s">
        <v>219</v>
      </c>
      <c r="C139" s="916">
        <v>0</v>
      </c>
      <c r="D139" s="916">
        <v>0</v>
      </c>
      <c r="E139" s="916">
        <v>0</v>
      </c>
      <c r="F139" s="916">
        <v>0</v>
      </c>
      <c r="G139" s="916">
        <v>0</v>
      </c>
      <c r="H139" s="916">
        <v>0</v>
      </c>
      <c r="I139" s="916">
        <v>0</v>
      </c>
      <c r="J139" s="916">
        <v>0</v>
      </c>
      <c r="K139" s="916">
        <v>0</v>
      </c>
      <c r="L139" s="916">
        <v>0</v>
      </c>
      <c r="M139" s="916">
        <v>0</v>
      </c>
      <c r="N139" s="916">
        <v>0</v>
      </c>
      <c r="O139" s="916">
        <f t="shared" si="14"/>
        <v>0</v>
      </c>
    </row>
    <row r="140" spans="1:15" hidden="1" x14ac:dyDescent="0.2">
      <c r="B140" t="s">
        <v>220</v>
      </c>
      <c r="C140" s="916">
        <v>0</v>
      </c>
      <c r="D140" s="916">
        <v>0</v>
      </c>
      <c r="E140" s="916">
        <v>0</v>
      </c>
      <c r="F140" s="916">
        <v>0</v>
      </c>
      <c r="G140" s="916">
        <v>0</v>
      </c>
      <c r="H140" s="916">
        <v>0</v>
      </c>
      <c r="I140" s="916">
        <v>0</v>
      </c>
      <c r="J140" s="916">
        <v>0</v>
      </c>
      <c r="K140" s="916">
        <v>0</v>
      </c>
      <c r="L140" s="916">
        <v>0</v>
      </c>
      <c r="M140" s="916">
        <v>0</v>
      </c>
      <c r="N140" s="916">
        <v>0</v>
      </c>
      <c r="O140" s="916">
        <f t="shared" si="14"/>
        <v>0</v>
      </c>
    </row>
    <row r="141" spans="1:15" hidden="1" x14ac:dyDescent="0.2">
      <c r="B141" t="s">
        <v>221</v>
      </c>
      <c r="C141" s="916">
        <v>0</v>
      </c>
      <c r="D141" s="916">
        <v>0</v>
      </c>
      <c r="E141" s="916">
        <v>0</v>
      </c>
      <c r="F141" s="916">
        <v>0</v>
      </c>
      <c r="G141" s="916">
        <v>0</v>
      </c>
      <c r="H141" s="916">
        <v>0</v>
      </c>
      <c r="I141" s="916">
        <v>0</v>
      </c>
      <c r="J141" s="916">
        <v>0</v>
      </c>
      <c r="K141" s="916">
        <v>0</v>
      </c>
      <c r="L141" s="916">
        <v>0</v>
      </c>
      <c r="M141" s="916">
        <v>0</v>
      </c>
      <c r="N141" s="916">
        <v>0</v>
      </c>
      <c r="O141" s="916">
        <f t="shared" si="14"/>
        <v>0</v>
      </c>
    </row>
    <row r="142" spans="1:15" hidden="1" x14ac:dyDescent="0.2">
      <c r="A142" s="2" t="s">
        <v>10</v>
      </c>
      <c r="B142" t="s">
        <v>142</v>
      </c>
      <c r="C142" s="916">
        <v>0</v>
      </c>
      <c r="D142" s="916">
        <v>0</v>
      </c>
      <c r="E142" s="916">
        <v>0</v>
      </c>
      <c r="F142" s="916">
        <v>0</v>
      </c>
      <c r="G142" s="916">
        <v>0</v>
      </c>
      <c r="H142" s="916">
        <v>0</v>
      </c>
      <c r="I142" s="916">
        <v>0</v>
      </c>
      <c r="J142" s="916">
        <v>0</v>
      </c>
      <c r="K142" s="916">
        <v>0</v>
      </c>
      <c r="L142" s="916">
        <v>0</v>
      </c>
      <c r="M142" s="916">
        <v>0</v>
      </c>
      <c r="N142" s="916">
        <v>0</v>
      </c>
      <c r="O142" s="916">
        <f t="shared" si="14"/>
        <v>0</v>
      </c>
    </row>
    <row r="143" spans="1:15" hidden="1" x14ac:dyDescent="0.2">
      <c r="A143" s="2" t="s">
        <v>10</v>
      </c>
      <c r="B143" t="s">
        <v>141</v>
      </c>
      <c r="C143" s="916">
        <v>0</v>
      </c>
      <c r="D143" s="916">
        <v>0</v>
      </c>
      <c r="E143" s="916">
        <v>0</v>
      </c>
      <c r="F143" s="916">
        <v>0</v>
      </c>
      <c r="G143" s="916">
        <v>0</v>
      </c>
      <c r="H143" s="916">
        <v>0</v>
      </c>
      <c r="I143" s="916">
        <v>0</v>
      </c>
      <c r="J143" s="916">
        <v>0</v>
      </c>
      <c r="K143" s="916">
        <v>0</v>
      </c>
      <c r="L143" s="916">
        <v>0</v>
      </c>
      <c r="M143" s="916">
        <v>0</v>
      </c>
      <c r="N143" s="916">
        <v>0</v>
      </c>
      <c r="O143" s="916">
        <f t="shared" si="14"/>
        <v>0</v>
      </c>
    </row>
    <row r="144" spans="1:15" hidden="1" x14ac:dyDescent="0.2">
      <c r="A144" s="2" t="s">
        <v>33</v>
      </c>
      <c r="B144" t="s">
        <v>222</v>
      </c>
      <c r="C144" s="916">
        <v>0</v>
      </c>
      <c r="D144" s="916">
        <v>0</v>
      </c>
      <c r="E144" s="916">
        <v>0</v>
      </c>
      <c r="F144" s="916">
        <v>0</v>
      </c>
      <c r="G144" s="916">
        <v>0</v>
      </c>
      <c r="H144" s="916">
        <v>0</v>
      </c>
      <c r="I144" s="916">
        <v>0</v>
      </c>
      <c r="J144" s="916">
        <v>0</v>
      </c>
      <c r="K144" s="916">
        <v>0</v>
      </c>
      <c r="L144" s="916">
        <v>0</v>
      </c>
      <c r="M144" s="916">
        <v>0</v>
      </c>
      <c r="N144" s="916">
        <v>0</v>
      </c>
      <c r="O144" s="916">
        <f t="shared" si="14"/>
        <v>0</v>
      </c>
    </row>
    <row r="145" spans="1:15" hidden="1" x14ac:dyDescent="0.2">
      <c r="A145" s="2" t="s">
        <v>10</v>
      </c>
      <c r="B145" t="s">
        <v>138</v>
      </c>
      <c r="C145" s="916">
        <v>0</v>
      </c>
      <c r="D145" s="916">
        <v>0</v>
      </c>
      <c r="E145" s="916">
        <v>0</v>
      </c>
      <c r="F145" s="916">
        <v>0</v>
      </c>
      <c r="G145" s="916">
        <v>0</v>
      </c>
      <c r="H145" s="916">
        <v>0</v>
      </c>
      <c r="I145" s="916">
        <v>0</v>
      </c>
      <c r="J145" s="916">
        <v>0</v>
      </c>
      <c r="K145" s="916">
        <v>0</v>
      </c>
      <c r="L145" s="916">
        <v>0</v>
      </c>
      <c r="M145" s="916">
        <v>0</v>
      </c>
      <c r="N145" s="916">
        <v>0</v>
      </c>
      <c r="O145" s="916">
        <f t="shared" si="14"/>
        <v>0</v>
      </c>
    </row>
    <row r="146" spans="1:15" hidden="1" x14ac:dyDescent="0.2">
      <c r="A146" s="2" t="s">
        <v>10</v>
      </c>
      <c r="B146" t="s">
        <v>136</v>
      </c>
      <c r="C146" s="916">
        <v>0</v>
      </c>
      <c r="D146" s="916">
        <v>0</v>
      </c>
      <c r="E146" s="916">
        <v>0</v>
      </c>
      <c r="F146" s="916">
        <v>0</v>
      </c>
      <c r="G146" s="916">
        <v>0</v>
      </c>
      <c r="H146" s="916">
        <v>0</v>
      </c>
      <c r="I146" s="916">
        <v>0</v>
      </c>
      <c r="J146" s="916">
        <v>0</v>
      </c>
      <c r="K146" s="916">
        <v>0</v>
      </c>
      <c r="L146" s="916">
        <v>0</v>
      </c>
      <c r="M146" s="916">
        <v>0</v>
      </c>
      <c r="N146" s="916">
        <v>0</v>
      </c>
      <c r="O146" s="916">
        <f t="shared" si="14"/>
        <v>0</v>
      </c>
    </row>
    <row r="147" spans="1:15" hidden="1" x14ac:dyDescent="0.2">
      <c r="B147" t="s">
        <v>223</v>
      </c>
      <c r="C147" s="916">
        <v>0</v>
      </c>
      <c r="D147" s="916">
        <v>0</v>
      </c>
      <c r="E147" s="916">
        <v>0</v>
      </c>
      <c r="F147" s="916">
        <v>0</v>
      </c>
      <c r="G147" s="916">
        <v>0</v>
      </c>
      <c r="H147" s="916">
        <v>0</v>
      </c>
      <c r="I147" s="916">
        <v>0</v>
      </c>
      <c r="J147" s="916">
        <v>0</v>
      </c>
      <c r="K147" s="916">
        <v>0</v>
      </c>
      <c r="L147" s="916">
        <v>0</v>
      </c>
      <c r="M147" s="916">
        <v>0</v>
      </c>
      <c r="N147" s="916">
        <v>0</v>
      </c>
      <c r="O147" s="916">
        <f t="shared" si="14"/>
        <v>0</v>
      </c>
    </row>
    <row r="148" spans="1:15" hidden="1" x14ac:dyDescent="0.2">
      <c r="B148" t="s">
        <v>224</v>
      </c>
      <c r="C148" s="916">
        <v>0</v>
      </c>
      <c r="D148" s="916">
        <v>0</v>
      </c>
      <c r="E148" s="916">
        <v>0</v>
      </c>
      <c r="F148" s="916">
        <v>0</v>
      </c>
      <c r="G148" s="916">
        <v>0</v>
      </c>
      <c r="H148" s="916">
        <v>0</v>
      </c>
      <c r="I148" s="916">
        <v>0</v>
      </c>
      <c r="J148" s="916">
        <v>0</v>
      </c>
      <c r="K148" s="916">
        <v>0</v>
      </c>
      <c r="L148" s="916">
        <v>0</v>
      </c>
      <c r="M148" s="916">
        <v>0</v>
      </c>
      <c r="N148" s="916">
        <v>0</v>
      </c>
      <c r="O148" s="916">
        <f t="shared" si="14"/>
        <v>0</v>
      </c>
    </row>
    <row r="149" spans="1:15" hidden="1" x14ac:dyDescent="0.2">
      <c r="B149" t="s">
        <v>225</v>
      </c>
      <c r="C149" s="916">
        <v>0</v>
      </c>
      <c r="D149" s="916">
        <v>0</v>
      </c>
      <c r="E149" s="916">
        <v>0</v>
      </c>
      <c r="F149" s="916">
        <v>0</v>
      </c>
      <c r="G149" s="916">
        <v>0</v>
      </c>
      <c r="H149" s="916">
        <v>0</v>
      </c>
      <c r="I149" s="916">
        <v>0</v>
      </c>
      <c r="J149" s="916">
        <v>0</v>
      </c>
      <c r="K149" s="916">
        <v>0</v>
      </c>
      <c r="L149" s="916">
        <v>0</v>
      </c>
      <c r="M149" s="916">
        <v>0</v>
      </c>
      <c r="N149" s="916">
        <v>0</v>
      </c>
      <c r="O149" s="916">
        <f t="shared" si="14"/>
        <v>0</v>
      </c>
    </row>
    <row r="150" spans="1:15" hidden="1" x14ac:dyDescent="0.2">
      <c r="B150" t="s">
        <v>226</v>
      </c>
      <c r="C150" s="916">
        <v>0</v>
      </c>
      <c r="D150" s="916">
        <v>0</v>
      </c>
      <c r="E150" s="916">
        <v>0</v>
      </c>
      <c r="F150" s="916">
        <v>0</v>
      </c>
      <c r="G150" s="916">
        <v>0</v>
      </c>
      <c r="H150" s="916">
        <v>0</v>
      </c>
      <c r="I150" s="916">
        <v>0</v>
      </c>
      <c r="J150" s="916">
        <v>0</v>
      </c>
      <c r="K150" s="916">
        <v>0</v>
      </c>
      <c r="L150" s="916">
        <v>0</v>
      </c>
      <c r="M150" s="916">
        <v>0</v>
      </c>
      <c r="N150" s="916">
        <v>0</v>
      </c>
      <c r="O150" s="916">
        <f t="shared" si="14"/>
        <v>0</v>
      </c>
    </row>
    <row r="151" spans="1:15" hidden="1" x14ac:dyDescent="0.2">
      <c r="B151" t="s">
        <v>227</v>
      </c>
      <c r="C151" s="916">
        <v>0</v>
      </c>
      <c r="D151" s="916">
        <v>0</v>
      </c>
      <c r="E151" s="916">
        <v>0</v>
      </c>
      <c r="F151" s="916">
        <v>0</v>
      </c>
      <c r="G151" s="916">
        <v>0</v>
      </c>
      <c r="H151" s="916">
        <v>0</v>
      </c>
      <c r="I151" s="916">
        <v>0</v>
      </c>
      <c r="J151" s="916">
        <v>0</v>
      </c>
      <c r="K151" s="916">
        <v>0</v>
      </c>
      <c r="L151" s="916">
        <v>0</v>
      </c>
      <c r="M151" s="916">
        <v>0</v>
      </c>
      <c r="N151" s="916">
        <v>0</v>
      </c>
      <c r="O151" s="916">
        <f t="shared" si="14"/>
        <v>0</v>
      </c>
    </row>
    <row r="152" spans="1:15" hidden="1" x14ac:dyDescent="0.2">
      <c r="B152" t="s">
        <v>228</v>
      </c>
      <c r="C152" s="916">
        <v>0</v>
      </c>
      <c r="D152" s="916">
        <v>0</v>
      </c>
      <c r="E152" s="916">
        <v>0</v>
      </c>
      <c r="F152" s="916">
        <v>0</v>
      </c>
      <c r="G152" s="916">
        <v>0</v>
      </c>
      <c r="H152" s="916">
        <v>0</v>
      </c>
      <c r="I152" s="916">
        <v>0</v>
      </c>
      <c r="J152" s="916">
        <v>0</v>
      </c>
      <c r="K152" s="916">
        <v>0</v>
      </c>
      <c r="L152" s="916">
        <v>0</v>
      </c>
      <c r="M152" s="916">
        <v>0</v>
      </c>
      <c r="N152" s="916">
        <v>0</v>
      </c>
      <c r="O152" s="916">
        <f t="shared" si="14"/>
        <v>0</v>
      </c>
    </row>
    <row r="153" spans="1:15" hidden="1" x14ac:dyDescent="0.2">
      <c r="B153" t="s">
        <v>229</v>
      </c>
      <c r="C153" s="916">
        <v>0</v>
      </c>
      <c r="D153" s="916">
        <v>0</v>
      </c>
      <c r="E153" s="916">
        <v>0</v>
      </c>
      <c r="F153" s="916">
        <v>0</v>
      </c>
      <c r="G153" s="916">
        <v>0</v>
      </c>
      <c r="H153" s="916">
        <v>0</v>
      </c>
      <c r="I153" s="916">
        <v>0</v>
      </c>
      <c r="J153" s="916">
        <v>0</v>
      </c>
      <c r="K153" s="916">
        <v>0</v>
      </c>
      <c r="L153" s="916">
        <v>0</v>
      </c>
      <c r="M153" s="916">
        <v>0</v>
      </c>
      <c r="N153" s="916">
        <v>0</v>
      </c>
      <c r="O153" s="916">
        <f t="shared" si="14"/>
        <v>0</v>
      </c>
    </row>
    <row r="154" spans="1:15" hidden="1" x14ac:dyDescent="0.2">
      <c r="B154" t="s">
        <v>230</v>
      </c>
      <c r="C154" s="916">
        <v>0</v>
      </c>
      <c r="D154" s="916">
        <v>0</v>
      </c>
      <c r="E154" s="916">
        <v>0</v>
      </c>
      <c r="F154" s="916">
        <v>0</v>
      </c>
      <c r="G154" s="916">
        <v>0</v>
      </c>
      <c r="H154" s="916">
        <v>0</v>
      </c>
      <c r="I154" s="916">
        <v>0</v>
      </c>
      <c r="J154" s="916">
        <v>0</v>
      </c>
      <c r="K154" s="916">
        <v>0</v>
      </c>
      <c r="L154" s="916">
        <v>0</v>
      </c>
      <c r="M154" s="916">
        <v>0</v>
      </c>
      <c r="N154" s="916">
        <v>0</v>
      </c>
      <c r="O154" s="916">
        <f t="shared" si="14"/>
        <v>0</v>
      </c>
    </row>
    <row r="155" spans="1:15" hidden="1" x14ac:dyDescent="0.2">
      <c r="B155" t="s">
        <v>231</v>
      </c>
      <c r="C155" s="916">
        <v>0</v>
      </c>
      <c r="D155" s="916">
        <v>0</v>
      </c>
      <c r="E155" s="916">
        <v>0</v>
      </c>
      <c r="F155" s="916">
        <v>0</v>
      </c>
      <c r="G155" s="916">
        <v>0</v>
      </c>
      <c r="H155" s="916">
        <v>0</v>
      </c>
      <c r="I155" s="916">
        <v>0</v>
      </c>
      <c r="J155" s="916">
        <v>0</v>
      </c>
      <c r="K155" s="916">
        <v>0</v>
      </c>
      <c r="L155" s="916">
        <v>0</v>
      </c>
      <c r="M155" s="916">
        <v>0</v>
      </c>
      <c r="N155" s="916">
        <v>0</v>
      </c>
      <c r="O155" s="916">
        <f t="shared" si="14"/>
        <v>0</v>
      </c>
    </row>
    <row r="156" spans="1:15" hidden="1" x14ac:dyDescent="0.2">
      <c r="B156" t="s">
        <v>232</v>
      </c>
      <c r="C156" s="916">
        <v>0</v>
      </c>
      <c r="D156" s="916">
        <v>0</v>
      </c>
      <c r="E156" s="916">
        <v>0</v>
      </c>
      <c r="F156" s="916">
        <v>0</v>
      </c>
      <c r="G156" s="916">
        <v>0</v>
      </c>
      <c r="H156" s="916">
        <v>0</v>
      </c>
      <c r="I156" s="916">
        <v>0</v>
      </c>
      <c r="J156" s="916">
        <v>0</v>
      </c>
      <c r="K156" s="916">
        <v>0</v>
      </c>
      <c r="L156" s="916">
        <v>0</v>
      </c>
      <c r="M156" s="916">
        <v>0</v>
      </c>
      <c r="N156" s="916">
        <v>0</v>
      </c>
      <c r="O156" s="916">
        <f t="shared" si="14"/>
        <v>0</v>
      </c>
    </row>
    <row r="157" spans="1:15" hidden="1" x14ac:dyDescent="0.2">
      <c r="B157" t="s">
        <v>233</v>
      </c>
      <c r="C157" s="916">
        <v>0</v>
      </c>
      <c r="D157" s="916">
        <v>0</v>
      </c>
      <c r="E157" s="916">
        <v>0</v>
      </c>
      <c r="F157" s="916">
        <v>0</v>
      </c>
      <c r="G157" s="916">
        <v>0</v>
      </c>
      <c r="H157" s="916">
        <v>0</v>
      </c>
      <c r="I157" s="916">
        <v>0</v>
      </c>
      <c r="J157" s="916">
        <v>0</v>
      </c>
      <c r="K157" s="916">
        <v>0</v>
      </c>
      <c r="L157" s="916">
        <v>0</v>
      </c>
      <c r="M157" s="916">
        <v>0</v>
      </c>
      <c r="N157" s="916">
        <v>0</v>
      </c>
      <c r="O157" s="916">
        <f t="shared" si="14"/>
        <v>0</v>
      </c>
    </row>
    <row r="158" spans="1:15" hidden="1" x14ac:dyDescent="0.2">
      <c r="B158" t="s">
        <v>234</v>
      </c>
      <c r="C158" s="916">
        <v>0</v>
      </c>
      <c r="D158" s="916">
        <v>0</v>
      </c>
      <c r="E158" s="916">
        <v>0</v>
      </c>
      <c r="F158" s="916">
        <v>0</v>
      </c>
      <c r="G158" s="916">
        <v>0</v>
      </c>
      <c r="H158" s="916">
        <v>0</v>
      </c>
      <c r="I158" s="916">
        <v>0</v>
      </c>
      <c r="J158" s="916">
        <v>0</v>
      </c>
      <c r="K158" s="916">
        <v>0</v>
      </c>
      <c r="L158" s="916">
        <v>0</v>
      </c>
      <c r="M158" s="916">
        <v>0</v>
      </c>
      <c r="N158" s="916">
        <v>0</v>
      </c>
      <c r="O158" s="916">
        <f t="shared" si="14"/>
        <v>0</v>
      </c>
    </row>
    <row r="159" spans="1:15" hidden="1" x14ac:dyDescent="0.2">
      <c r="B159" t="s">
        <v>9</v>
      </c>
      <c r="C159" s="916">
        <v>0</v>
      </c>
      <c r="D159" s="916">
        <v>0</v>
      </c>
      <c r="E159" s="916">
        <v>0</v>
      </c>
      <c r="F159" s="916">
        <v>0</v>
      </c>
      <c r="G159" s="916">
        <v>0</v>
      </c>
      <c r="H159" s="916">
        <v>0</v>
      </c>
      <c r="I159" s="916">
        <v>0</v>
      </c>
      <c r="J159" s="916">
        <v>0</v>
      </c>
      <c r="K159" s="916">
        <v>0</v>
      </c>
      <c r="L159" s="916">
        <v>0</v>
      </c>
      <c r="M159" s="916">
        <v>0</v>
      </c>
      <c r="N159" s="916">
        <v>0</v>
      </c>
      <c r="O159" s="916">
        <f t="shared" si="14"/>
        <v>0</v>
      </c>
    </row>
    <row r="160" spans="1:15" x14ac:dyDescent="0.2">
      <c r="B160" s="3" t="s">
        <v>581</v>
      </c>
      <c r="C160" s="916">
        <v>0</v>
      </c>
      <c r="D160" s="916">
        <v>0</v>
      </c>
      <c r="E160" s="916">
        <v>0</v>
      </c>
      <c r="F160" s="916">
        <v>0</v>
      </c>
      <c r="G160" s="916">
        <v>0</v>
      </c>
      <c r="H160" s="916">
        <v>0</v>
      </c>
      <c r="I160" s="916">
        <v>0</v>
      </c>
      <c r="J160" s="916">
        <v>0</v>
      </c>
      <c r="K160" s="916">
        <v>0</v>
      </c>
      <c r="L160" s="916">
        <v>0</v>
      </c>
      <c r="M160" s="916">
        <v>7851030</v>
      </c>
      <c r="N160" s="916">
        <v>0</v>
      </c>
      <c r="O160" s="916">
        <f t="shared" si="14"/>
        <v>7851030</v>
      </c>
    </row>
    <row r="161" spans="2:15" hidden="1" x14ac:dyDescent="0.2">
      <c r="B161" s="3" t="s">
        <v>235</v>
      </c>
      <c r="C161" s="916">
        <v>0</v>
      </c>
      <c r="D161" s="916">
        <v>0</v>
      </c>
      <c r="E161" s="916">
        <v>0</v>
      </c>
      <c r="F161" s="916">
        <v>0</v>
      </c>
      <c r="G161" s="916">
        <v>0</v>
      </c>
      <c r="H161" s="916">
        <v>0</v>
      </c>
      <c r="I161" s="916">
        <v>0</v>
      </c>
      <c r="J161" s="916">
        <v>0</v>
      </c>
      <c r="K161" s="916">
        <v>0</v>
      </c>
      <c r="L161" s="916">
        <v>0</v>
      </c>
      <c r="M161" s="916">
        <v>0</v>
      </c>
      <c r="N161" s="916">
        <v>0</v>
      </c>
      <c r="O161" s="916">
        <f t="shared" si="14"/>
        <v>0</v>
      </c>
    </row>
    <row r="162" spans="2:15" hidden="1" x14ac:dyDescent="0.2">
      <c r="B162" t="s">
        <v>236</v>
      </c>
      <c r="C162" s="916">
        <v>0</v>
      </c>
      <c r="D162" s="916">
        <v>0</v>
      </c>
      <c r="E162" s="916">
        <v>0</v>
      </c>
      <c r="F162" s="916">
        <v>0</v>
      </c>
      <c r="G162" s="916">
        <v>0</v>
      </c>
      <c r="H162" s="916">
        <v>0</v>
      </c>
      <c r="I162" s="916">
        <v>0</v>
      </c>
      <c r="J162" s="916">
        <v>0</v>
      </c>
      <c r="K162" s="916">
        <v>0</v>
      </c>
      <c r="L162" s="916">
        <v>0</v>
      </c>
      <c r="M162" s="916">
        <v>0</v>
      </c>
      <c r="N162" s="916">
        <v>0</v>
      </c>
      <c r="O162" s="916">
        <f t="shared" ref="O162:O186" si="15">SUM(C162:N162)</f>
        <v>0</v>
      </c>
    </row>
    <row r="163" spans="2:15" hidden="1" x14ac:dyDescent="0.2">
      <c r="B163" t="s">
        <v>237</v>
      </c>
      <c r="C163" s="916">
        <v>0</v>
      </c>
      <c r="D163" s="916">
        <v>0</v>
      </c>
      <c r="E163" s="916">
        <v>0</v>
      </c>
      <c r="F163" s="916">
        <v>0</v>
      </c>
      <c r="G163" s="916">
        <v>0</v>
      </c>
      <c r="H163" s="916">
        <v>0</v>
      </c>
      <c r="I163" s="916">
        <v>0</v>
      </c>
      <c r="J163" s="916">
        <v>0</v>
      </c>
      <c r="K163" s="916">
        <v>0</v>
      </c>
      <c r="L163" s="916">
        <v>0</v>
      </c>
      <c r="M163" s="916">
        <v>0</v>
      </c>
      <c r="N163" s="916">
        <v>0</v>
      </c>
      <c r="O163" s="916">
        <f t="shared" si="15"/>
        <v>0</v>
      </c>
    </row>
    <row r="164" spans="2:15" hidden="1" x14ac:dyDescent="0.2">
      <c r="B164" t="s">
        <v>238</v>
      </c>
      <c r="C164" s="916">
        <v>0</v>
      </c>
      <c r="D164" s="916">
        <v>0</v>
      </c>
      <c r="E164" s="916">
        <v>0</v>
      </c>
      <c r="F164" s="916">
        <v>0</v>
      </c>
      <c r="G164" s="916">
        <v>0</v>
      </c>
      <c r="H164" s="916">
        <v>0</v>
      </c>
      <c r="I164" s="916">
        <v>0</v>
      </c>
      <c r="J164" s="916">
        <v>0</v>
      </c>
      <c r="K164" s="916">
        <v>0</v>
      </c>
      <c r="L164" s="916">
        <v>0</v>
      </c>
      <c r="M164" s="916">
        <v>0</v>
      </c>
      <c r="N164" s="916">
        <v>0</v>
      </c>
      <c r="O164" s="916">
        <f t="shared" si="15"/>
        <v>0</v>
      </c>
    </row>
    <row r="165" spans="2:15" hidden="1" x14ac:dyDescent="0.2">
      <c r="B165" t="s">
        <v>239</v>
      </c>
      <c r="C165" s="916">
        <v>0</v>
      </c>
      <c r="D165" s="916">
        <v>0</v>
      </c>
      <c r="E165" s="916">
        <v>0</v>
      </c>
      <c r="F165" s="916">
        <v>0</v>
      </c>
      <c r="G165" s="916">
        <v>0</v>
      </c>
      <c r="H165" s="916">
        <v>0</v>
      </c>
      <c r="I165" s="916">
        <v>0</v>
      </c>
      <c r="J165" s="916">
        <v>0</v>
      </c>
      <c r="K165" s="916">
        <v>0</v>
      </c>
      <c r="L165" s="916">
        <v>0</v>
      </c>
      <c r="M165" s="916">
        <v>0</v>
      </c>
      <c r="N165" s="916">
        <v>0</v>
      </c>
      <c r="O165" s="916">
        <f t="shared" si="15"/>
        <v>0</v>
      </c>
    </row>
    <row r="166" spans="2:15" hidden="1" x14ac:dyDescent="0.2">
      <c r="B166" t="s">
        <v>240</v>
      </c>
      <c r="C166" s="916">
        <v>0</v>
      </c>
      <c r="D166" s="916">
        <v>0</v>
      </c>
      <c r="E166" s="916">
        <v>0</v>
      </c>
      <c r="F166" s="916">
        <v>0</v>
      </c>
      <c r="G166" s="916">
        <v>0</v>
      </c>
      <c r="H166" s="916">
        <v>0</v>
      </c>
      <c r="I166" s="916">
        <v>0</v>
      </c>
      <c r="J166" s="916">
        <v>0</v>
      </c>
      <c r="K166" s="916">
        <v>0</v>
      </c>
      <c r="L166" s="916">
        <v>0</v>
      </c>
      <c r="M166" s="916">
        <v>0</v>
      </c>
      <c r="N166" s="916">
        <v>0</v>
      </c>
      <c r="O166" s="916">
        <f t="shared" si="15"/>
        <v>0</v>
      </c>
    </row>
    <row r="167" spans="2:15" hidden="1" x14ac:dyDescent="0.2">
      <c r="B167" t="s">
        <v>241</v>
      </c>
      <c r="C167" s="916">
        <v>0</v>
      </c>
      <c r="D167" s="916">
        <v>0</v>
      </c>
      <c r="E167" s="916">
        <v>0</v>
      </c>
      <c r="F167" s="916">
        <v>0</v>
      </c>
      <c r="G167" s="916">
        <v>0</v>
      </c>
      <c r="H167" s="916">
        <v>0</v>
      </c>
      <c r="I167" s="916">
        <v>0</v>
      </c>
      <c r="J167" s="916">
        <v>0</v>
      </c>
      <c r="K167" s="916">
        <v>0</v>
      </c>
      <c r="L167" s="916">
        <v>0</v>
      </c>
      <c r="M167" s="916">
        <v>0</v>
      </c>
      <c r="N167" s="916">
        <v>0</v>
      </c>
      <c r="O167" s="916">
        <f t="shared" si="15"/>
        <v>0</v>
      </c>
    </row>
    <row r="168" spans="2:15" hidden="1" x14ac:dyDescent="0.2">
      <c r="B168" s="3" t="s">
        <v>242</v>
      </c>
      <c r="C168" s="916">
        <v>0</v>
      </c>
      <c r="D168" s="916">
        <v>0</v>
      </c>
      <c r="E168" s="916">
        <v>0</v>
      </c>
      <c r="F168" s="916">
        <v>0</v>
      </c>
      <c r="G168" s="916">
        <v>0</v>
      </c>
      <c r="H168" s="916">
        <v>0</v>
      </c>
      <c r="I168" s="916">
        <v>0</v>
      </c>
      <c r="J168" s="916">
        <v>0</v>
      </c>
      <c r="K168" s="916">
        <v>0</v>
      </c>
      <c r="L168" s="916">
        <v>0</v>
      </c>
      <c r="M168" s="916">
        <v>0</v>
      </c>
      <c r="N168" s="916">
        <v>0</v>
      </c>
      <c r="O168" s="916">
        <f t="shared" si="15"/>
        <v>0</v>
      </c>
    </row>
    <row r="169" spans="2:15" hidden="1" x14ac:dyDescent="0.2">
      <c r="B169" t="s">
        <v>243</v>
      </c>
      <c r="C169" s="916">
        <v>0</v>
      </c>
      <c r="D169" s="916">
        <v>0</v>
      </c>
      <c r="E169" s="916">
        <v>0</v>
      </c>
      <c r="F169" s="916">
        <v>0</v>
      </c>
      <c r="G169" s="916">
        <v>0</v>
      </c>
      <c r="H169" s="916">
        <v>0</v>
      </c>
      <c r="I169" s="916">
        <v>0</v>
      </c>
      <c r="J169" s="916">
        <v>0</v>
      </c>
      <c r="K169" s="916">
        <v>0</v>
      </c>
      <c r="L169" s="916">
        <v>0</v>
      </c>
      <c r="M169" s="916">
        <v>0</v>
      </c>
      <c r="N169" s="916">
        <v>0</v>
      </c>
      <c r="O169" s="916">
        <f t="shared" si="15"/>
        <v>0</v>
      </c>
    </row>
    <row r="170" spans="2:15" x14ac:dyDescent="0.2">
      <c r="B170" t="s">
        <v>244</v>
      </c>
      <c r="C170" s="916">
        <v>0</v>
      </c>
      <c r="D170" s="916">
        <v>0</v>
      </c>
      <c r="E170" s="916">
        <v>0</v>
      </c>
      <c r="F170" s="916">
        <v>0</v>
      </c>
      <c r="G170" s="916">
        <v>0</v>
      </c>
      <c r="H170" s="916">
        <v>0</v>
      </c>
      <c r="I170" s="916">
        <v>0</v>
      </c>
      <c r="J170" s="916">
        <v>0</v>
      </c>
      <c r="K170" s="916">
        <v>0</v>
      </c>
      <c r="L170" s="916">
        <v>443397</v>
      </c>
      <c r="M170" s="916">
        <v>0</v>
      </c>
      <c r="N170" s="916">
        <v>0</v>
      </c>
      <c r="O170" s="916">
        <f t="shared" si="15"/>
        <v>443397</v>
      </c>
    </row>
    <row r="171" spans="2:15" x14ac:dyDescent="0.2">
      <c r="B171" s="2" t="s">
        <v>245</v>
      </c>
      <c r="O171" s="12"/>
    </row>
    <row r="172" spans="2:15" hidden="1" x14ac:dyDescent="0.2">
      <c r="B172" t="s">
        <v>246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f t="shared" si="15"/>
        <v>0</v>
      </c>
    </row>
    <row r="173" spans="2:15" hidden="1" x14ac:dyDescent="0.2">
      <c r="B173" t="s">
        <v>247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f t="shared" si="15"/>
        <v>0</v>
      </c>
    </row>
    <row r="174" spans="2:15" hidden="1" x14ac:dyDescent="0.2">
      <c r="B174" t="s">
        <v>248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f t="shared" si="15"/>
        <v>0</v>
      </c>
    </row>
    <row r="175" spans="2:15" hidden="1" x14ac:dyDescent="0.2">
      <c r="B175" t="s">
        <v>249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f t="shared" si="15"/>
        <v>0</v>
      </c>
    </row>
    <row r="176" spans="2:15" hidden="1" x14ac:dyDescent="0.2">
      <c r="B176" t="s">
        <v>250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f t="shared" si="15"/>
        <v>0</v>
      </c>
    </row>
    <row r="177" spans="2:15" hidden="1" x14ac:dyDescent="0.2">
      <c r="B177" t="s">
        <v>251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f t="shared" si="15"/>
        <v>0</v>
      </c>
    </row>
    <row r="178" spans="2:15" hidden="1" x14ac:dyDescent="0.2">
      <c r="B178" t="s">
        <v>252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f t="shared" si="15"/>
        <v>0</v>
      </c>
    </row>
    <row r="179" spans="2:15" hidden="1" x14ac:dyDescent="0.2">
      <c r="B179" t="s">
        <v>253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f t="shared" si="15"/>
        <v>0</v>
      </c>
    </row>
    <row r="180" spans="2:15" hidden="1" x14ac:dyDescent="0.2">
      <c r="B180" t="s">
        <v>254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f t="shared" si="15"/>
        <v>0</v>
      </c>
    </row>
    <row r="181" spans="2:15" hidden="1" x14ac:dyDescent="0.2">
      <c r="B181" t="s">
        <v>255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f t="shared" si="15"/>
        <v>0</v>
      </c>
    </row>
    <row r="182" spans="2:15" hidden="1" x14ac:dyDescent="0.2">
      <c r="B182" t="s">
        <v>256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f t="shared" si="15"/>
        <v>0</v>
      </c>
    </row>
    <row r="183" spans="2:15" hidden="1" x14ac:dyDescent="0.2">
      <c r="B183" t="s">
        <v>257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f t="shared" si="15"/>
        <v>0</v>
      </c>
    </row>
    <row r="184" spans="2:15" hidden="1" x14ac:dyDescent="0.2">
      <c r="B184" t="s">
        <v>258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f t="shared" si="15"/>
        <v>0</v>
      </c>
    </row>
    <row r="185" spans="2:15" hidden="1" x14ac:dyDescent="0.2">
      <c r="B185" t="s">
        <v>259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f t="shared" si="15"/>
        <v>0</v>
      </c>
    </row>
    <row r="186" spans="2:15" hidden="1" x14ac:dyDescent="0.2">
      <c r="B186" t="s">
        <v>260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f t="shared" si="15"/>
        <v>0</v>
      </c>
    </row>
    <row r="187" spans="2:15" x14ac:dyDescent="0.2">
      <c r="O187" s="12"/>
    </row>
  </sheetData>
  <pageMargins left="0.7" right="0.7" top="0.75" bottom="0.75" header="0.3" footer="0.3"/>
  <pageSetup scale="51" orientation="portrait" r:id="rId1"/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0351B-948D-4117-A36A-E6186BFB70F0}">
  <sheetPr>
    <tabColor rgb="FFFF0000"/>
  </sheetPr>
  <dimension ref="A1:I85"/>
  <sheetViews>
    <sheetView showGridLines="0" zoomScaleNormal="10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62" customWidth="1"/>
    <col min="2" max="2" width="12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8.7109375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588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589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30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>
        <v>0</v>
      </c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0</v>
      </c>
      <c r="I8" s="92"/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>
        <v>0</v>
      </c>
      <c r="I9" s="92"/>
    </row>
    <row r="10" spans="1:9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>
        <v>0</v>
      </c>
      <c r="I10" s="92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91">
        <v>0</v>
      </c>
      <c r="I11" s="92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0</v>
      </c>
      <c r="G12" s="90">
        <v>0</v>
      </c>
      <c r="H12" s="91">
        <v>400096</v>
      </c>
      <c r="I12" s="92"/>
    </row>
    <row r="13" spans="1:9" hidden="1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0</v>
      </c>
      <c r="G13" s="90">
        <v>0</v>
      </c>
      <c r="H13" s="91">
        <v>0</v>
      </c>
      <c r="I13" s="92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>
        <v>0</v>
      </c>
      <c r="I14" s="92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91">
        <v>0</v>
      </c>
      <c r="I15" s="92"/>
    </row>
    <row r="16" spans="1:9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35000</v>
      </c>
      <c r="G16" s="90">
        <v>0</v>
      </c>
      <c r="H16" s="91">
        <v>0</v>
      </c>
      <c r="I16" s="92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>
        <v>0</v>
      </c>
      <c r="I17" s="92"/>
    </row>
    <row r="18" spans="1:9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274000</v>
      </c>
      <c r="G18" s="90">
        <v>0</v>
      </c>
      <c r="H18" s="91">
        <v>0</v>
      </c>
      <c r="I18" s="92"/>
    </row>
    <row r="19" spans="1:9" hidden="1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>
        <v>0</v>
      </c>
      <c r="G19" s="90">
        <v>0</v>
      </c>
      <c r="H19" s="91">
        <v>0</v>
      </c>
      <c r="I19" s="92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152000</v>
      </c>
      <c r="G20" s="90">
        <v>0</v>
      </c>
      <c r="H20" s="91">
        <v>0</v>
      </c>
      <c r="I20" s="92"/>
    </row>
    <row r="21" spans="1:9" hidden="1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>
        <v>0</v>
      </c>
      <c r="G21" s="90">
        <v>0</v>
      </c>
      <c r="H21" s="91">
        <v>0</v>
      </c>
      <c r="I21" s="92"/>
    </row>
    <row r="22" spans="1:9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0</v>
      </c>
      <c r="G22" s="90">
        <v>0</v>
      </c>
      <c r="H22" s="91">
        <v>586808</v>
      </c>
      <c r="I22" s="92"/>
    </row>
    <row r="23" spans="1:9" hidden="1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>
        <v>0</v>
      </c>
      <c r="G23" s="90">
        <v>0</v>
      </c>
      <c r="H23" s="91">
        <v>0</v>
      </c>
      <c r="I23" s="92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>
        <v>0</v>
      </c>
      <c r="I24" s="92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>
        <v>0</v>
      </c>
      <c r="I25" s="92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>
        <v>0</v>
      </c>
      <c r="I26" s="92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>
        <v>0</v>
      </c>
      <c r="I27" s="92"/>
    </row>
    <row r="28" spans="1:9" hidden="1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>
        <v>0</v>
      </c>
      <c r="G28" s="90">
        <v>0</v>
      </c>
      <c r="H28" s="91">
        <v>0</v>
      </c>
      <c r="I28" s="92"/>
    </row>
    <row r="29" spans="1:9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>
        <v>32726</v>
      </c>
      <c r="G29" s="90">
        <v>0</v>
      </c>
      <c r="H29" s="91">
        <v>0</v>
      </c>
      <c r="I29" s="92"/>
    </row>
    <row r="30" spans="1:9" hidden="1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0</v>
      </c>
      <c r="G30" s="90">
        <v>0</v>
      </c>
      <c r="H30" s="91">
        <v>0</v>
      </c>
      <c r="I30" s="92"/>
    </row>
    <row r="31" spans="1:9" hidden="1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0</v>
      </c>
      <c r="G31" s="90">
        <v>0</v>
      </c>
      <c r="H31" s="91">
        <v>0</v>
      </c>
      <c r="I31" s="92"/>
    </row>
    <row r="32" spans="1:9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148000</v>
      </c>
      <c r="G32" s="90">
        <v>0</v>
      </c>
      <c r="H32" s="91">
        <v>8613883</v>
      </c>
      <c r="I32" s="92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641726</v>
      </c>
      <c r="G33" s="104">
        <f>SUM(G6:G32)</f>
        <v>0</v>
      </c>
      <c r="H33" s="106">
        <f>SUM(H6:H32)</f>
        <v>9600787</v>
      </c>
      <c r="I33" s="107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112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>
        <v>0</v>
      </c>
      <c r="G35" s="90">
        <v>0</v>
      </c>
      <c r="H35" s="91">
        <v>0</v>
      </c>
      <c r="I35" s="92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41219841.321483299</v>
      </c>
      <c r="G36" s="90">
        <v>0</v>
      </c>
      <c r="H36" s="91">
        <v>0</v>
      </c>
      <c r="I36" s="12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>
        <v>0</v>
      </c>
      <c r="G37" s="90">
        <v>0</v>
      </c>
      <c r="H37" s="91">
        <v>0</v>
      </c>
      <c r="I37" s="92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7564875.6616855748</v>
      </c>
      <c r="G38" s="90">
        <v>0</v>
      </c>
      <c r="H38" s="91">
        <v>0</v>
      </c>
      <c r="I38" s="12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434798.54155637021</v>
      </c>
      <c r="G39" s="90">
        <v>0</v>
      </c>
      <c r="H39" s="91">
        <v>0</v>
      </c>
      <c r="I39" s="92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631140.1856699558</v>
      </c>
      <c r="G40" s="90">
        <v>0</v>
      </c>
      <c r="H40" s="91">
        <v>0</v>
      </c>
      <c r="I40" s="92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>
        <v>364782.34818481846</v>
      </c>
      <c r="G41" s="90">
        <v>0</v>
      </c>
      <c r="H41" s="91">
        <v>0</v>
      </c>
      <c r="I41" s="92"/>
    </row>
    <row r="42" spans="1:9" s="130" customFormat="1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>
        <v>0</v>
      </c>
      <c r="G42" s="306">
        <v>0</v>
      </c>
      <c r="H42" s="307">
        <v>418137</v>
      </c>
      <c r="I42" s="129"/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>
        <v>0</v>
      </c>
      <c r="G43" s="90">
        <v>0</v>
      </c>
      <c r="H43" s="91">
        <v>0</v>
      </c>
      <c r="I43" s="92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4114752.9095360246</v>
      </c>
      <c r="G44" s="90">
        <v>0</v>
      </c>
      <c r="H44" s="91">
        <v>0</v>
      </c>
      <c r="I44" s="92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>
        <v>85197</v>
      </c>
      <c r="G45" s="90">
        <v>0</v>
      </c>
      <c r="H45" s="91">
        <v>0</v>
      </c>
      <c r="I45" s="92"/>
    </row>
    <row r="46" spans="1:9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>
        <v>0</v>
      </c>
      <c r="G46" s="90">
        <v>0</v>
      </c>
      <c r="H46" s="91">
        <v>0</v>
      </c>
      <c r="I46" s="92"/>
    </row>
    <row r="47" spans="1:9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>
        <v>275</v>
      </c>
      <c r="G47" s="90">
        <v>0</v>
      </c>
      <c r="H47" s="91">
        <v>0</v>
      </c>
      <c r="I47" s="133"/>
    </row>
    <row r="48" spans="1:9" hidden="1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>
        <v>0</v>
      </c>
      <c r="G48" s="90">
        <v>0</v>
      </c>
      <c r="H48" s="91">
        <v>0</v>
      </c>
      <c r="I48" s="92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54415662.968116045</v>
      </c>
      <c r="G49" s="104">
        <f>SUM(G34:G48)</f>
        <v>0</v>
      </c>
      <c r="H49" s="106">
        <f>SUM(H34:H48)</f>
        <v>418137</v>
      </c>
      <c r="I49" s="107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112"/>
    </row>
    <row r="51" spans="1:9" hidden="1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0</v>
      </c>
      <c r="G51" s="143">
        <v>0</v>
      </c>
      <c r="H51" s="111">
        <v>0</v>
      </c>
      <c r="I51" s="92"/>
    </row>
    <row r="52" spans="1:9" hidden="1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>
        <v>0</v>
      </c>
      <c r="G52" s="143">
        <v>0</v>
      </c>
      <c r="H52" s="111">
        <v>0</v>
      </c>
      <c r="I52" s="92"/>
    </row>
    <row r="53" spans="1:9" hidden="1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>
        <v>0</v>
      </c>
      <c r="G53" s="143">
        <v>0</v>
      </c>
      <c r="H53" s="111">
        <v>0</v>
      </c>
      <c r="I53" s="92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v>0</v>
      </c>
      <c r="G54" s="143">
        <v>0</v>
      </c>
      <c r="H54" s="111">
        <v>4135693</v>
      </c>
      <c r="I54" s="92"/>
    </row>
    <row r="55" spans="1:9" hidden="1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>
        <v>0</v>
      </c>
      <c r="G55" s="143">
        <v>0</v>
      </c>
      <c r="H55" s="111">
        <v>0</v>
      </c>
      <c r="I55" s="92"/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>
        <v>0</v>
      </c>
      <c r="G56" s="143">
        <v>0</v>
      </c>
      <c r="H56" s="111">
        <v>0</v>
      </c>
      <c r="I56" s="92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0</v>
      </c>
      <c r="G57" s="104">
        <f t="shared" si="0"/>
        <v>0</v>
      </c>
      <c r="H57" s="106">
        <f t="shared" si="0"/>
        <v>4135693</v>
      </c>
      <c r="I57" s="107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112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>
        <v>0</v>
      </c>
      <c r="G59" s="143">
        <v>0</v>
      </c>
      <c r="H59" s="111">
        <v>0</v>
      </c>
      <c r="I59" s="92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>
        <v>0</v>
      </c>
      <c r="G60" s="143">
        <v>0</v>
      </c>
      <c r="H60" s="111">
        <v>0</v>
      </c>
      <c r="I60" s="92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>
        <v>0</v>
      </c>
      <c r="G61" s="143">
        <v>0</v>
      </c>
      <c r="H61" s="111">
        <v>0</v>
      </c>
      <c r="I61" s="92"/>
    </row>
    <row r="62" spans="1:9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0</v>
      </c>
      <c r="G62" s="143">
        <v>0</v>
      </c>
      <c r="H62" s="111">
        <v>4400000</v>
      </c>
      <c r="I62" s="92"/>
    </row>
    <row r="63" spans="1:9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>
        <v>8000</v>
      </c>
      <c r="G63" s="143">
        <v>0</v>
      </c>
      <c r="H63" s="111">
        <v>0</v>
      </c>
      <c r="I63" s="92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92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92"/>
    </row>
    <row r="66" spans="1:9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>
        <v>0</v>
      </c>
      <c r="G66" s="143">
        <v>0</v>
      </c>
      <c r="H66" s="111">
        <v>358984</v>
      </c>
      <c r="I66" s="92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8000</v>
      </c>
      <c r="G67" s="157">
        <f>SUM(G58:G66)</f>
        <v>0</v>
      </c>
      <c r="H67" s="159">
        <f>SUM(H58:H66)</f>
        <v>4758984</v>
      </c>
      <c r="I67" s="92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92"/>
    </row>
    <row r="69" spans="1:9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110856</v>
      </c>
      <c r="G69" s="143">
        <v>0</v>
      </c>
      <c r="H69" s="111">
        <v>47077</v>
      </c>
      <c r="I69" s="92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8725295</v>
      </c>
      <c r="G70" s="143">
        <v>0</v>
      </c>
      <c r="H70" s="111">
        <v>13704180</v>
      </c>
      <c r="I70" s="92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8836151</v>
      </c>
      <c r="G71" s="157">
        <f t="shared" si="1"/>
        <v>0</v>
      </c>
      <c r="H71" s="159">
        <f>SUM(H69:H70)</f>
        <v>13751257</v>
      </c>
      <c r="I71" s="92"/>
    </row>
    <row r="72" spans="1:9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92"/>
    </row>
    <row r="73" spans="1:9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92"/>
    </row>
    <row r="74" spans="1:9" ht="15.75" thickBot="1" x14ac:dyDescent="0.3">
      <c r="A74" s="169" t="s">
        <v>423</v>
      </c>
      <c r="B74" s="170"/>
      <c r="C74" s="171"/>
      <c r="D74" s="172">
        <f>'PCFP - All Revenue AA-1 R-4'!D33+'PCFP - All Revenue AA-1 R-4'!D49+'PCFP - All Revenue AA-1 R-4'!D57+'PCFP - All Revenue AA-1 R-4'!D71+'PCFP - All Revenue AA-1 R-4'!D67</f>
        <v>0</v>
      </c>
      <c r="E74" s="172">
        <f>'PCFP - All Revenue AA-1 R-4'!E33+'PCFP - All Revenue AA-1 R-4'!E49+'PCFP - All Revenue AA-1 R-4'!E57+'PCFP - All Revenue AA-1 R-4'!E71+'PCFP - All Revenue AA-1 R-4'!E67</f>
        <v>0</v>
      </c>
      <c r="F74" s="173">
        <f>'PCFP - All Revenue AA-1 R-4'!F33+'PCFP - All Revenue AA-1 R-4'!F49+'PCFP - All Revenue AA-1 R-4'!F57+'PCFP - All Revenue AA-1 R-4'!F71+'PCFP - All Revenue AA-1 R-4'!F67</f>
        <v>63901539.968116045</v>
      </c>
      <c r="G74" s="172">
        <f>'PCFP - All Revenue AA-1 R-4'!G33+'PCFP - All Revenue AA-1 R-4'!G49+'PCFP - All Revenue AA-1 R-4'!G57+'PCFP - All Revenue AA-1 R-4'!G71+'PCFP - All Revenue AA-1 R-4'!G67</f>
        <v>0</v>
      </c>
      <c r="H74" s="174">
        <f>'PCFP - All Revenue AA-1 R-4'!H33+'PCFP - All Revenue AA-1 R-4'!H49+'PCFP - All Revenue AA-1 R-4'!H57+'PCFP - All Revenue AA-1 R-4'!H71+'PCFP - All Revenue AA-1 R-4'!H67</f>
        <v>32664858</v>
      </c>
      <c r="I74" s="92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44"/>
      <c r="G75" s="143"/>
      <c r="H75" s="111">
        <v>0</v>
      </c>
      <c r="I75" s="92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44"/>
      <c r="G76" s="143"/>
      <c r="H76" s="111">
        <v>0</v>
      </c>
      <c r="I76" s="92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44"/>
      <c r="G77" s="143"/>
      <c r="H77" s="111">
        <v>0</v>
      </c>
      <c r="I77" s="92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92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7">
        <f t="shared" si="2"/>
        <v>0</v>
      </c>
      <c r="G79" s="187">
        <f t="shared" si="2"/>
        <v>0</v>
      </c>
      <c r="H79" s="187">
        <f>SUM(H75:H78)</f>
        <v>0</v>
      </c>
    </row>
    <row r="80" spans="1:9" x14ac:dyDescent="0.2">
      <c r="A80" s="189"/>
      <c r="B80" s="189"/>
      <c r="C80" s="190"/>
      <c r="D80" s="190"/>
      <c r="E80" s="190"/>
      <c r="F80" s="190"/>
      <c r="G80" s="190"/>
      <c r="H80" s="208">
        <f>SUM(F74:H74)</f>
        <v>96566397.968116045</v>
      </c>
    </row>
    <row r="81" spans="1:8" x14ac:dyDescent="0.2">
      <c r="A81" s="94"/>
      <c r="B81" s="94"/>
      <c r="C81" s="191" t="str">
        <f>C1</f>
        <v>Douglas County School District</v>
      </c>
      <c r="D81" s="190" t="s">
        <v>428</v>
      </c>
      <c r="E81" s="190"/>
      <c r="F81" s="195" t="s">
        <v>481</v>
      </c>
      <c r="G81" s="196" t="s">
        <v>590</v>
      </c>
      <c r="H81" s="190"/>
    </row>
    <row r="82" spans="1:8" x14ac:dyDescent="0.2">
      <c r="A82" s="98"/>
      <c r="B82" s="98"/>
      <c r="C82" s="193" t="s">
        <v>429</v>
      </c>
      <c r="D82" s="189" t="s">
        <v>430</v>
      </c>
      <c r="E82" s="190"/>
      <c r="F82" s="190"/>
      <c r="G82" s="192" t="str">
        <f>"Budget Fiscal Year "&amp;TEXT('[4]Form 1'!$C$136, "mm/dd/yy")</f>
        <v>Budget Fiscal Year 2019-2020</v>
      </c>
      <c r="H82" s="190"/>
    </row>
    <row r="83" spans="1:8" x14ac:dyDescent="0.2">
      <c r="A83" s="189"/>
      <c r="B83" s="189"/>
      <c r="C83" s="190"/>
      <c r="D83" s="190"/>
      <c r="E83" s="190"/>
      <c r="F83" s="194"/>
      <c r="G83" s="192" t="s">
        <v>431</v>
      </c>
      <c r="H83" s="197"/>
    </row>
    <row r="84" spans="1:8" x14ac:dyDescent="0.2">
      <c r="A84" s="189"/>
      <c r="B84" s="189"/>
      <c r="C84" s="190"/>
      <c r="D84" s="190"/>
      <c r="E84" s="190"/>
      <c r="H84" s="192"/>
    </row>
    <row r="85" spans="1:8" x14ac:dyDescent="0.2">
      <c r="A85" s="189"/>
      <c r="B85" s="189"/>
      <c r="C85" s="190"/>
      <c r="D85" s="190"/>
      <c r="E85" s="190"/>
      <c r="H85" s="192"/>
    </row>
  </sheetData>
  <pageMargins left="0.2" right="0.2" top="0.25" bottom="0.25" header="0.05" footer="0.05"/>
  <pageSetup paperSize="5" scale="67" fitToHeight="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79F80-B010-4BAF-9ECC-7EBC61BE3272}">
  <sheetPr>
    <tabColor rgb="FFFFFF00"/>
    <pageSetUpPr fitToPage="1"/>
  </sheetPr>
  <dimension ref="A1:L153"/>
  <sheetViews>
    <sheetView showGridLines="0" topLeftCell="B1" zoomScale="80" zoomScaleNormal="80" workbookViewId="0">
      <selection activeCell="C2" sqref="C2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8.8554687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17165734</v>
      </c>
      <c r="D3" s="89">
        <v>7166029</v>
      </c>
      <c r="E3" s="89">
        <v>1196035</v>
      </c>
      <c r="F3" s="89">
        <v>0</v>
      </c>
      <c r="G3" s="89">
        <v>0</v>
      </c>
      <c r="H3" s="89">
        <v>0</v>
      </c>
      <c r="I3" s="214">
        <v>0</v>
      </c>
      <c r="J3" s="89">
        <f>SUM(C3:I3)</f>
        <v>25527798</v>
      </c>
      <c r="K3" s="92"/>
    </row>
    <row r="4" spans="1:11" hidden="1" x14ac:dyDescent="0.2">
      <c r="A4" s="116">
        <v>200</v>
      </c>
      <c r="B4" s="95" t="s">
        <v>135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214">
        <v>0</v>
      </c>
      <c r="J4" s="89">
        <f t="shared" ref="J4:J68" si="0">SUM(C4:I4)</f>
        <v>0</v>
      </c>
      <c r="K4" s="92"/>
    </row>
    <row r="5" spans="1:11" hidden="1" x14ac:dyDescent="0.2">
      <c r="A5" s="210" t="s">
        <v>10</v>
      </c>
      <c r="B5" s="211" t="s">
        <v>136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214">
        <v>0</v>
      </c>
      <c r="J5" s="89">
        <f t="shared" si="0"/>
        <v>0</v>
      </c>
      <c r="K5" s="212"/>
    </row>
    <row r="6" spans="1:11" hidden="1" x14ac:dyDescent="0.2">
      <c r="A6" s="116">
        <v>270</v>
      </c>
      <c r="B6" s="95" t="s">
        <v>137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214">
        <v>0</v>
      </c>
      <c r="J6" s="89">
        <f t="shared" si="0"/>
        <v>0</v>
      </c>
      <c r="K6" s="92"/>
    </row>
    <row r="7" spans="1:11" hidden="1" x14ac:dyDescent="0.2">
      <c r="A7" s="210" t="s">
        <v>10</v>
      </c>
      <c r="B7" s="211" t="s">
        <v>138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214">
        <v>0</v>
      </c>
      <c r="J7" s="89">
        <f t="shared" si="0"/>
        <v>0</v>
      </c>
      <c r="K7" s="212"/>
    </row>
    <row r="8" spans="1:11" x14ac:dyDescent="0.2">
      <c r="A8" s="116">
        <v>300</v>
      </c>
      <c r="B8" s="95" t="s">
        <v>139</v>
      </c>
      <c r="C8" s="89">
        <v>575329</v>
      </c>
      <c r="D8" s="89">
        <v>273901</v>
      </c>
      <c r="E8" s="89">
        <v>51747</v>
      </c>
      <c r="F8" s="89">
        <v>0</v>
      </c>
      <c r="G8" s="89">
        <v>0</v>
      </c>
      <c r="H8" s="89">
        <v>0</v>
      </c>
      <c r="I8" s="214">
        <v>0</v>
      </c>
      <c r="J8" s="89">
        <f t="shared" si="0"/>
        <v>900977</v>
      </c>
      <c r="K8" s="92"/>
    </row>
    <row r="9" spans="1:11" x14ac:dyDescent="0.2">
      <c r="A9" s="116">
        <v>400</v>
      </c>
      <c r="B9" s="95" t="s">
        <v>140</v>
      </c>
      <c r="C9" s="89">
        <v>1104961</v>
      </c>
      <c r="D9" s="89">
        <v>502852</v>
      </c>
      <c r="E9" s="89">
        <v>191155</v>
      </c>
      <c r="F9" s="89">
        <v>0</v>
      </c>
      <c r="G9" s="89">
        <v>0</v>
      </c>
      <c r="H9" s="89">
        <v>0</v>
      </c>
      <c r="I9" s="214">
        <v>0</v>
      </c>
      <c r="J9" s="89">
        <f t="shared" si="0"/>
        <v>1798968</v>
      </c>
      <c r="K9" s="92"/>
    </row>
    <row r="10" spans="1:11" hidden="1" x14ac:dyDescent="0.2">
      <c r="A10" s="210" t="s">
        <v>10</v>
      </c>
      <c r="B10" s="211" t="s">
        <v>141</v>
      </c>
      <c r="C10" s="89"/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214">
        <v>0</v>
      </c>
      <c r="J10" s="89">
        <f t="shared" si="0"/>
        <v>0</v>
      </c>
      <c r="K10" s="212"/>
    </row>
    <row r="11" spans="1:11" hidden="1" x14ac:dyDescent="0.2">
      <c r="A11" s="210" t="s">
        <v>10</v>
      </c>
      <c r="B11" s="211" t="s">
        <v>142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214">
        <v>0</v>
      </c>
      <c r="J11" s="89">
        <f t="shared" si="0"/>
        <v>0</v>
      </c>
      <c r="K11" s="212"/>
    </row>
    <row r="12" spans="1:11" hidden="1" x14ac:dyDescent="0.2">
      <c r="A12" s="257">
        <v>430</v>
      </c>
      <c r="B12" s="95" t="s">
        <v>548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214">
        <v>0</v>
      </c>
      <c r="J12" s="89">
        <f t="shared" si="0"/>
        <v>0</v>
      </c>
      <c r="K12" s="212"/>
    </row>
    <row r="13" spans="1:11" x14ac:dyDescent="0.2">
      <c r="A13" s="116">
        <v>440</v>
      </c>
      <c r="B13" s="95" t="s">
        <v>143</v>
      </c>
      <c r="C13" s="89">
        <v>55000</v>
      </c>
      <c r="D13" s="89">
        <v>3065</v>
      </c>
      <c r="E13" s="89">
        <v>7700</v>
      </c>
      <c r="F13" s="89">
        <v>0</v>
      </c>
      <c r="G13" s="89">
        <v>0</v>
      </c>
      <c r="H13" s="89">
        <v>0</v>
      </c>
      <c r="I13" s="214">
        <v>0</v>
      </c>
      <c r="J13" s="89">
        <f t="shared" si="0"/>
        <v>65765</v>
      </c>
      <c r="K13" s="92"/>
    </row>
    <row r="14" spans="1:11" hidden="1" x14ac:dyDescent="0.2">
      <c r="A14" s="116">
        <v>500</v>
      </c>
      <c r="B14" s="95" t="s">
        <v>144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214">
        <v>0</v>
      </c>
      <c r="J14" s="89">
        <f t="shared" si="0"/>
        <v>0</v>
      </c>
      <c r="K14" s="92"/>
    </row>
    <row r="15" spans="1:11" hidden="1" x14ac:dyDescent="0.2">
      <c r="A15" s="116">
        <v>600</v>
      </c>
      <c r="B15" s="95" t="s">
        <v>145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214">
        <v>0</v>
      </c>
      <c r="J15" s="89">
        <f t="shared" si="0"/>
        <v>0</v>
      </c>
      <c r="K15" s="92"/>
    </row>
    <row r="16" spans="1:11" hidden="1" x14ac:dyDescent="0.2">
      <c r="A16" s="116">
        <v>800</v>
      </c>
      <c r="B16" s="95" t="s">
        <v>146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214">
        <v>0</v>
      </c>
      <c r="J16" s="89">
        <f t="shared" si="0"/>
        <v>0</v>
      </c>
      <c r="K16" s="92"/>
    </row>
    <row r="17" spans="1:11" x14ac:dyDescent="0.2">
      <c r="A17" s="116">
        <v>910</v>
      </c>
      <c r="B17" s="95" t="s">
        <v>147</v>
      </c>
      <c r="C17" s="89">
        <v>142000</v>
      </c>
      <c r="D17" s="89">
        <v>4225</v>
      </c>
      <c r="E17" s="89">
        <v>25460</v>
      </c>
      <c r="F17" s="89">
        <v>0</v>
      </c>
      <c r="G17" s="89">
        <v>0</v>
      </c>
      <c r="H17" s="89">
        <v>0</v>
      </c>
      <c r="I17" s="214">
        <v>0</v>
      </c>
      <c r="J17" s="89">
        <f t="shared" si="0"/>
        <v>171685</v>
      </c>
      <c r="K17" s="92"/>
    </row>
    <row r="18" spans="1:11" x14ac:dyDescent="0.2">
      <c r="A18" s="116">
        <v>920</v>
      </c>
      <c r="B18" s="95" t="s">
        <v>148</v>
      </c>
      <c r="C18" s="89">
        <v>269315</v>
      </c>
      <c r="D18" s="89">
        <v>12600</v>
      </c>
      <c r="E18" s="89">
        <v>128450</v>
      </c>
      <c r="F18" s="89">
        <v>0</v>
      </c>
      <c r="G18" s="89">
        <v>0</v>
      </c>
      <c r="H18" s="89">
        <v>0</v>
      </c>
      <c r="I18" s="214">
        <v>0</v>
      </c>
      <c r="J18" s="89">
        <f t="shared" si="0"/>
        <v>410365</v>
      </c>
      <c r="K18" s="92"/>
    </row>
    <row r="19" spans="1:11" ht="2.25" customHeight="1" x14ac:dyDescent="0.2">
      <c r="A19" s="116"/>
      <c r="B19" s="95"/>
      <c r="C19" s="89"/>
      <c r="D19" s="89"/>
      <c r="E19" s="89"/>
      <c r="F19" s="89"/>
      <c r="G19" s="89"/>
      <c r="H19" s="89"/>
      <c r="I19" s="214"/>
      <c r="J19" s="89">
        <f t="shared" si="0"/>
        <v>0</v>
      </c>
      <c r="K19" s="92"/>
    </row>
    <row r="20" spans="1:11" ht="15" x14ac:dyDescent="0.25">
      <c r="A20" s="215" t="s">
        <v>149</v>
      </c>
      <c r="B20" s="216" t="s">
        <v>150</v>
      </c>
      <c r="C20" s="89"/>
      <c r="D20" s="89"/>
      <c r="E20" s="89"/>
      <c r="F20" s="89"/>
      <c r="G20" s="89"/>
      <c r="H20" s="89"/>
      <c r="I20" s="214"/>
      <c r="J20" s="89"/>
      <c r="K20" s="92"/>
    </row>
    <row r="21" spans="1:11" ht="15" hidden="1" x14ac:dyDescent="0.25">
      <c r="A21" s="215" t="s">
        <v>443</v>
      </c>
      <c r="B21" s="216" t="s">
        <v>444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214">
        <v>0</v>
      </c>
      <c r="J21" s="89">
        <f t="shared" si="0"/>
        <v>0</v>
      </c>
      <c r="K21" s="92"/>
    </row>
    <row r="22" spans="1:11" x14ac:dyDescent="0.2">
      <c r="A22" s="116">
        <v>2100</v>
      </c>
      <c r="B22" s="95" t="s">
        <v>151</v>
      </c>
      <c r="C22" s="89">
        <v>1914099</v>
      </c>
      <c r="D22" s="89">
        <v>823279</v>
      </c>
      <c r="E22" s="89">
        <v>69631</v>
      </c>
      <c r="F22" s="89">
        <v>0</v>
      </c>
      <c r="G22" s="89">
        <v>0</v>
      </c>
      <c r="H22" s="89">
        <v>0</v>
      </c>
      <c r="I22" s="214">
        <v>0</v>
      </c>
      <c r="J22" s="89">
        <f t="shared" si="0"/>
        <v>2807009</v>
      </c>
      <c r="K22" s="92"/>
    </row>
    <row r="23" spans="1:11" x14ac:dyDescent="0.2">
      <c r="A23" s="116">
        <v>2200</v>
      </c>
      <c r="B23" s="95" t="s">
        <v>152</v>
      </c>
      <c r="C23" s="89">
        <v>833559</v>
      </c>
      <c r="D23" s="89">
        <v>358221</v>
      </c>
      <c r="E23" s="89">
        <v>165324</v>
      </c>
      <c r="F23" s="89">
        <v>0</v>
      </c>
      <c r="G23" s="89">
        <v>0</v>
      </c>
      <c r="H23" s="89">
        <v>0</v>
      </c>
      <c r="I23" s="214">
        <v>0</v>
      </c>
      <c r="J23" s="89">
        <f t="shared" si="0"/>
        <v>1357104</v>
      </c>
      <c r="K23" s="92"/>
    </row>
    <row r="24" spans="1:11" x14ac:dyDescent="0.2">
      <c r="A24" s="116">
        <v>2300</v>
      </c>
      <c r="B24" s="95" t="s">
        <v>153</v>
      </c>
      <c r="C24" s="89">
        <v>241092</v>
      </c>
      <c r="D24" s="89">
        <v>123540</v>
      </c>
      <c r="E24" s="89">
        <v>279350</v>
      </c>
      <c r="F24" s="89">
        <v>0</v>
      </c>
      <c r="G24" s="89">
        <v>0</v>
      </c>
      <c r="H24" s="89">
        <v>0</v>
      </c>
      <c r="I24" s="214">
        <v>0</v>
      </c>
      <c r="J24" s="89">
        <f t="shared" si="0"/>
        <v>643982</v>
      </c>
      <c r="K24" s="92"/>
    </row>
    <row r="25" spans="1:11" x14ac:dyDescent="0.2">
      <c r="A25" s="116">
        <v>2400</v>
      </c>
      <c r="B25" s="95" t="s">
        <v>154</v>
      </c>
      <c r="C25" s="89">
        <v>3201669</v>
      </c>
      <c r="D25" s="89">
        <v>1354017</v>
      </c>
      <c r="E25" s="89">
        <v>254647</v>
      </c>
      <c r="F25" s="89">
        <v>0</v>
      </c>
      <c r="G25" s="89">
        <v>0</v>
      </c>
      <c r="H25" s="89">
        <v>0</v>
      </c>
      <c r="I25" s="214">
        <v>0</v>
      </c>
      <c r="J25" s="89">
        <f t="shared" si="0"/>
        <v>4810333</v>
      </c>
      <c r="K25" s="92"/>
    </row>
    <row r="26" spans="1:11" x14ac:dyDescent="0.2">
      <c r="A26" s="116">
        <v>2500</v>
      </c>
      <c r="B26" s="95" t="s">
        <v>155</v>
      </c>
      <c r="C26" s="89">
        <v>1053023</v>
      </c>
      <c r="D26" s="89">
        <v>407962</v>
      </c>
      <c r="E26" s="89">
        <v>605530</v>
      </c>
      <c r="F26" s="89">
        <v>0</v>
      </c>
      <c r="G26" s="89">
        <v>0</v>
      </c>
      <c r="H26" s="89">
        <v>0</v>
      </c>
      <c r="I26" s="214">
        <v>0</v>
      </c>
      <c r="J26" s="89">
        <f t="shared" si="0"/>
        <v>2066515</v>
      </c>
      <c r="K26" s="92"/>
    </row>
    <row r="27" spans="1:11" x14ac:dyDescent="0.2">
      <c r="A27" s="116">
        <v>2600</v>
      </c>
      <c r="B27" s="95" t="s">
        <v>156</v>
      </c>
      <c r="C27" s="89">
        <v>2762076</v>
      </c>
      <c r="D27" s="89">
        <v>1095547</v>
      </c>
      <c r="E27" s="89">
        <v>4805999</v>
      </c>
      <c r="F27" s="89">
        <v>0</v>
      </c>
      <c r="G27" s="89">
        <v>0</v>
      </c>
      <c r="H27" s="89">
        <v>0</v>
      </c>
      <c r="I27" s="214">
        <v>0</v>
      </c>
      <c r="J27" s="89">
        <f t="shared" si="0"/>
        <v>8663622</v>
      </c>
      <c r="K27" s="92"/>
    </row>
    <row r="28" spans="1:11" x14ac:dyDescent="0.2">
      <c r="A28" s="217">
        <v>2700</v>
      </c>
      <c r="B28" s="211" t="s">
        <v>157</v>
      </c>
      <c r="C28" s="89">
        <v>1733812</v>
      </c>
      <c r="D28" s="89">
        <v>813088</v>
      </c>
      <c r="E28" s="89">
        <v>1659994</v>
      </c>
      <c r="F28" s="89">
        <v>0</v>
      </c>
      <c r="G28" s="89">
        <v>0</v>
      </c>
      <c r="H28" s="89">
        <v>0</v>
      </c>
      <c r="I28" s="214">
        <v>0</v>
      </c>
      <c r="J28" s="89">
        <f t="shared" si="0"/>
        <v>4206894</v>
      </c>
      <c r="K28" s="212"/>
    </row>
    <row r="29" spans="1:11" x14ac:dyDescent="0.2">
      <c r="A29" s="116">
        <v>2900</v>
      </c>
      <c r="B29" s="95" t="s">
        <v>158</v>
      </c>
      <c r="C29" s="89">
        <v>90000</v>
      </c>
      <c r="D29" s="89">
        <v>37050</v>
      </c>
      <c r="E29" s="89">
        <v>120100</v>
      </c>
      <c r="F29" s="89">
        <v>0</v>
      </c>
      <c r="G29" s="89">
        <v>0</v>
      </c>
      <c r="H29" s="89">
        <v>0</v>
      </c>
      <c r="I29" s="214">
        <v>0</v>
      </c>
      <c r="J29" s="89">
        <f t="shared" si="0"/>
        <v>247150</v>
      </c>
      <c r="K29" s="92"/>
    </row>
    <row r="30" spans="1:11" s="204" customFormat="1" ht="15" hidden="1" x14ac:dyDescent="0.25">
      <c r="A30" s="218">
        <v>3000</v>
      </c>
      <c r="B30" s="216" t="s">
        <v>159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214">
        <v>0</v>
      </c>
      <c r="J30" s="89">
        <f t="shared" si="0"/>
        <v>0</v>
      </c>
      <c r="K30" s="219"/>
    </row>
    <row r="31" spans="1:11" hidden="1" x14ac:dyDescent="0.2">
      <c r="A31" s="217">
        <v>3100</v>
      </c>
      <c r="B31" s="211" t="s">
        <v>160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214">
        <v>0</v>
      </c>
      <c r="J31" s="89">
        <f t="shared" si="0"/>
        <v>0</v>
      </c>
      <c r="K31" s="212"/>
    </row>
    <row r="32" spans="1:11" hidden="1" x14ac:dyDescent="0.2">
      <c r="A32" s="116">
        <v>3200</v>
      </c>
      <c r="B32" s="95" t="s">
        <v>161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214">
        <v>0</v>
      </c>
      <c r="J32" s="89">
        <f t="shared" si="0"/>
        <v>0</v>
      </c>
      <c r="K32" s="92"/>
    </row>
    <row r="33" spans="1:11" hidden="1" x14ac:dyDescent="0.2">
      <c r="A33" s="116">
        <v>3300</v>
      </c>
      <c r="B33" s="95" t="s">
        <v>162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214">
        <v>0</v>
      </c>
      <c r="J33" s="89">
        <f t="shared" si="0"/>
        <v>0</v>
      </c>
      <c r="K33" s="92"/>
    </row>
    <row r="34" spans="1:11" s="223" customFormat="1" hidden="1" x14ac:dyDescent="0.2">
      <c r="A34" s="220">
        <v>4100</v>
      </c>
      <c r="B34" s="221" t="s">
        <v>163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214">
        <v>0</v>
      </c>
      <c r="J34" s="89">
        <f t="shared" si="0"/>
        <v>0</v>
      </c>
      <c r="K34" s="222"/>
    </row>
    <row r="35" spans="1:11" s="225" customFormat="1" ht="15" hidden="1" x14ac:dyDescent="0.25">
      <c r="A35" s="220">
        <v>4000</v>
      </c>
      <c r="B35" s="221" t="s">
        <v>164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214">
        <v>0</v>
      </c>
      <c r="J35" s="89">
        <f t="shared" si="0"/>
        <v>0</v>
      </c>
      <c r="K35" s="224"/>
    </row>
    <row r="36" spans="1:11" s="223" customFormat="1" hidden="1" x14ac:dyDescent="0.2">
      <c r="A36" s="220">
        <v>4200</v>
      </c>
      <c r="B36" s="221" t="s">
        <v>165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214">
        <v>0</v>
      </c>
      <c r="J36" s="89">
        <f t="shared" si="0"/>
        <v>0</v>
      </c>
      <c r="K36" s="222"/>
    </row>
    <row r="37" spans="1:11" s="223" customFormat="1" hidden="1" x14ac:dyDescent="0.2">
      <c r="A37" s="220">
        <v>4300</v>
      </c>
      <c r="B37" s="221" t="s">
        <v>166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214">
        <v>0</v>
      </c>
      <c r="J37" s="89">
        <f t="shared" si="0"/>
        <v>0</v>
      </c>
      <c r="K37" s="222"/>
    </row>
    <row r="38" spans="1:11" s="223" customFormat="1" hidden="1" x14ac:dyDescent="0.2">
      <c r="A38" s="220">
        <v>4400</v>
      </c>
      <c r="B38" s="221" t="s">
        <v>167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214">
        <v>0</v>
      </c>
      <c r="J38" s="89">
        <f t="shared" si="0"/>
        <v>0</v>
      </c>
      <c r="K38" s="222"/>
    </row>
    <row r="39" spans="1:11" s="223" customFormat="1" hidden="1" x14ac:dyDescent="0.2">
      <c r="A39" s="220">
        <v>4500</v>
      </c>
      <c r="B39" s="221" t="s">
        <v>168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214">
        <v>0</v>
      </c>
      <c r="J39" s="89">
        <f t="shared" si="0"/>
        <v>0</v>
      </c>
      <c r="K39" s="222"/>
    </row>
    <row r="40" spans="1:11" s="223" customFormat="1" x14ac:dyDescent="0.2">
      <c r="A40" s="220">
        <v>4600</v>
      </c>
      <c r="B40" s="221" t="s">
        <v>169</v>
      </c>
      <c r="C40" s="89">
        <v>0</v>
      </c>
      <c r="D40" s="89">
        <v>0</v>
      </c>
      <c r="E40" s="89">
        <v>10000</v>
      </c>
      <c r="F40" s="89">
        <v>0</v>
      </c>
      <c r="G40" s="89">
        <v>0</v>
      </c>
      <c r="H40" s="89">
        <v>0</v>
      </c>
      <c r="I40" s="214">
        <v>0</v>
      </c>
      <c r="J40" s="89">
        <f t="shared" si="0"/>
        <v>10000</v>
      </c>
      <c r="K40" s="222"/>
    </row>
    <row r="41" spans="1:11" s="223" customFormat="1" hidden="1" x14ac:dyDescent="0.2">
      <c r="A41" s="220">
        <v>4700</v>
      </c>
      <c r="B41" s="221" t="s">
        <v>170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214">
        <v>0</v>
      </c>
      <c r="J41" s="89">
        <f t="shared" si="0"/>
        <v>0</v>
      </c>
      <c r="K41" s="222"/>
    </row>
    <row r="42" spans="1:11" s="223" customFormat="1" hidden="1" x14ac:dyDescent="0.2">
      <c r="A42" s="220">
        <v>4900</v>
      </c>
      <c r="B42" s="221" t="s">
        <v>171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214">
        <v>0</v>
      </c>
      <c r="J42" s="89">
        <f t="shared" si="0"/>
        <v>0</v>
      </c>
      <c r="K42" s="222"/>
    </row>
    <row r="43" spans="1:11" hidden="1" x14ac:dyDescent="0.2">
      <c r="A43" s="220">
        <v>5000</v>
      </c>
      <c r="B43" s="226" t="s">
        <v>172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214">
        <v>0</v>
      </c>
      <c r="J43" s="89">
        <f t="shared" si="0"/>
        <v>0</v>
      </c>
      <c r="K43" s="92"/>
    </row>
    <row r="44" spans="1:11" x14ac:dyDescent="0.2">
      <c r="A44" s="220">
        <v>5000</v>
      </c>
      <c r="B44" s="226" t="s">
        <v>173</v>
      </c>
      <c r="C44" s="89">
        <v>0</v>
      </c>
      <c r="D44" s="89">
        <v>0</v>
      </c>
      <c r="E44" s="89">
        <v>522668</v>
      </c>
      <c r="F44" s="89">
        <v>0</v>
      </c>
      <c r="G44" s="89">
        <v>0</v>
      </c>
      <c r="H44" s="89">
        <v>0</v>
      </c>
      <c r="I44" s="214">
        <v>6009285</v>
      </c>
      <c r="J44" s="89">
        <f t="shared" si="0"/>
        <v>6531953</v>
      </c>
      <c r="K44" s="92"/>
    </row>
    <row r="45" spans="1:11" hidden="1" x14ac:dyDescent="0.2">
      <c r="A45" s="220">
        <v>6100</v>
      </c>
      <c r="B45" s="226" t="s">
        <v>174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214">
        <v>0</v>
      </c>
      <c r="J45" s="89">
        <f t="shared" si="0"/>
        <v>0</v>
      </c>
      <c r="K45" s="92"/>
    </row>
    <row r="46" spans="1:11" ht="15" thickBot="1" x14ac:dyDescent="0.25">
      <c r="A46" s="116">
        <v>6200</v>
      </c>
      <c r="B46" s="95" t="s">
        <v>175</v>
      </c>
      <c r="C46" s="89">
        <v>0</v>
      </c>
      <c r="D46" s="89">
        <v>0</v>
      </c>
      <c r="E46" s="89">
        <v>0</v>
      </c>
      <c r="F46" s="89">
        <v>4500000</v>
      </c>
      <c r="G46" s="89">
        <v>528788</v>
      </c>
      <c r="H46" s="89">
        <f>2394810-100000</f>
        <v>2294810</v>
      </c>
      <c r="I46" s="214">
        <v>0</v>
      </c>
      <c r="J46" s="89">
        <f t="shared" si="0"/>
        <v>7323598</v>
      </c>
      <c r="K46" s="92"/>
    </row>
    <row r="47" spans="1:11" ht="15" hidden="1" thickBot="1" x14ac:dyDescent="0.25">
      <c r="A47" s="116">
        <v>6300</v>
      </c>
      <c r="B47" s="95" t="s">
        <v>176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214">
        <v>0</v>
      </c>
      <c r="J47" s="89">
        <f t="shared" si="0"/>
        <v>0</v>
      </c>
      <c r="K47" s="92"/>
    </row>
    <row r="48" spans="1:11" ht="15" hidden="1" thickBot="1" x14ac:dyDescent="0.25">
      <c r="A48" s="116">
        <v>8000</v>
      </c>
      <c r="B48" s="227" t="s">
        <v>177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214">
        <v>0</v>
      </c>
      <c r="J48" s="89">
        <f t="shared" si="0"/>
        <v>0</v>
      </c>
      <c r="K48" s="92"/>
    </row>
    <row r="49" spans="1:11" ht="15" hidden="1" thickBot="1" x14ac:dyDescent="0.25">
      <c r="A49" s="116"/>
      <c r="B49" s="227" t="s">
        <v>445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214">
        <v>0</v>
      </c>
      <c r="J49" s="89">
        <f t="shared" si="0"/>
        <v>0</v>
      </c>
      <c r="K49" s="92"/>
    </row>
    <row r="50" spans="1:11" ht="15" hidden="1" thickBot="1" x14ac:dyDescent="0.25">
      <c r="A50" s="229"/>
      <c r="B50" s="100" t="s">
        <v>446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214">
        <v>0</v>
      </c>
      <c r="J50" s="89">
        <f t="shared" si="0"/>
        <v>0</v>
      </c>
      <c r="K50" s="92"/>
    </row>
    <row r="51" spans="1:11" ht="15" hidden="1" thickBot="1" x14ac:dyDescent="0.25">
      <c r="A51" s="230"/>
      <c r="B51" s="231" t="s">
        <v>255</v>
      </c>
      <c r="C51" s="232">
        <v>0</v>
      </c>
      <c r="D51" s="232">
        <v>0</v>
      </c>
      <c r="E51" s="232">
        <v>0</v>
      </c>
      <c r="F51" s="232">
        <v>0</v>
      </c>
      <c r="G51" s="232">
        <v>0</v>
      </c>
      <c r="H51" s="232">
        <v>0</v>
      </c>
      <c r="I51" s="316">
        <v>0</v>
      </c>
      <c r="J51" s="232">
        <f t="shared" si="0"/>
        <v>0</v>
      </c>
      <c r="K51" s="233"/>
    </row>
    <row r="52" spans="1:11" ht="15.75" thickBot="1" x14ac:dyDescent="0.3">
      <c r="A52" s="234"/>
      <c r="B52" s="235" t="s">
        <v>447</v>
      </c>
      <c r="C52" s="236">
        <f>SUM(C2:C51)</f>
        <v>31141669</v>
      </c>
      <c r="D52" s="236">
        <f>SUM(D2:D51)</f>
        <v>12975376</v>
      </c>
      <c r="E52" s="236">
        <f>SUM(E2:E51)</f>
        <v>10093790</v>
      </c>
      <c r="F52" s="236">
        <f t="shared" ref="F52:I52" si="1">SUM(F2:F51)</f>
        <v>4500000</v>
      </c>
      <c r="G52" s="236">
        <f t="shared" si="1"/>
        <v>528788</v>
      </c>
      <c r="H52" s="236">
        <f t="shared" si="1"/>
        <v>2294810</v>
      </c>
      <c r="I52" s="237">
        <f t="shared" si="1"/>
        <v>6009285</v>
      </c>
      <c r="J52" s="236">
        <f t="shared" si="0"/>
        <v>67543718</v>
      </c>
      <c r="K52" s="239"/>
    </row>
    <row r="53" spans="1:11" ht="15.75" hidden="1" thickBot="1" x14ac:dyDescent="0.3">
      <c r="A53" s="218" t="s">
        <v>448</v>
      </c>
      <c r="B53" s="95"/>
      <c r="C53" s="240">
        <v>0</v>
      </c>
      <c r="D53" s="240">
        <v>0</v>
      </c>
      <c r="E53" s="240">
        <v>0</v>
      </c>
      <c r="F53" s="240">
        <v>0</v>
      </c>
      <c r="G53" s="240">
        <v>0</v>
      </c>
      <c r="H53" s="240">
        <v>0</v>
      </c>
      <c r="I53" s="241">
        <v>0</v>
      </c>
      <c r="J53" s="144">
        <f t="shared" si="0"/>
        <v>0</v>
      </c>
      <c r="K53" s="112"/>
    </row>
    <row r="54" spans="1:11" ht="15.75" hidden="1" thickBot="1" x14ac:dyDescent="0.3">
      <c r="A54" s="243" t="s">
        <v>453</v>
      </c>
      <c r="B54" s="244"/>
      <c r="C54" s="207">
        <v>0</v>
      </c>
      <c r="D54" s="207">
        <v>0</v>
      </c>
      <c r="E54" s="207">
        <v>0</v>
      </c>
      <c r="F54" s="207">
        <v>0</v>
      </c>
      <c r="G54" s="207">
        <v>0</v>
      </c>
      <c r="H54" s="207">
        <v>0</v>
      </c>
      <c r="I54" s="208">
        <v>0</v>
      </c>
      <c r="J54" s="209">
        <f t="shared" si="0"/>
        <v>0</v>
      </c>
      <c r="K54" s="233"/>
    </row>
    <row r="55" spans="1:11" ht="20.25" customHeight="1" thickBot="1" x14ac:dyDescent="0.3">
      <c r="A55" s="245" t="s">
        <v>454</v>
      </c>
      <c r="B55" s="246"/>
      <c r="C55" s="247">
        <f>SUM(C52:C54)</f>
        <v>31141669</v>
      </c>
      <c r="D55" s="247">
        <f t="shared" ref="D55:H55" si="2">SUM(D52:D54)</f>
        <v>12975376</v>
      </c>
      <c r="E55" s="247">
        <f t="shared" si="2"/>
        <v>10093790</v>
      </c>
      <c r="F55" s="247">
        <f t="shared" si="2"/>
        <v>4500000</v>
      </c>
      <c r="G55" s="247">
        <f t="shared" si="2"/>
        <v>528788</v>
      </c>
      <c r="H55" s="247">
        <f t="shared" si="2"/>
        <v>2294810</v>
      </c>
      <c r="I55" s="248">
        <f>SUM(I52:I54)</f>
        <v>6009285</v>
      </c>
      <c r="J55" s="236">
        <f>SUM(C55:I55)</f>
        <v>67543718</v>
      </c>
      <c r="K55" s="239"/>
    </row>
    <row r="56" spans="1:11" ht="18" customHeight="1" x14ac:dyDescent="0.25">
      <c r="A56" s="218" t="s">
        <v>308</v>
      </c>
      <c r="B56" s="95"/>
      <c r="C56" s="144"/>
      <c r="D56" s="240"/>
      <c r="E56" s="240"/>
      <c r="F56" s="240"/>
      <c r="G56" s="240"/>
      <c r="H56" s="240"/>
      <c r="I56" s="241"/>
      <c r="J56" s="144"/>
      <c r="K56" s="112"/>
    </row>
    <row r="57" spans="1:11" ht="15" hidden="1" x14ac:dyDescent="0.25">
      <c r="A57" s="116"/>
      <c r="B57" s="95" t="s">
        <v>179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214">
        <v>0</v>
      </c>
      <c r="J57" s="89">
        <f t="shared" si="0"/>
        <v>0</v>
      </c>
      <c r="K57" s="249"/>
    </row>
    <row r="58" spans="1:11" ht="15" x14ac:dyDescent="0.25">
      <c r="A58" s="116"/>
      <c r="B58" s="95" t="s">
        <v>145</v>
      </c>
      <c r="C58" s="89">
        <v>56124</v>
      </c>
      <c r="D58" s="89">
        <v>25190</v>
      </c>
      <c r="E58" s="89">
        <v>3883</v>
      </c>
      <c r="F58" s="89">
        <v>0</v>
      </c>
      <c r="G58" s="89">
        <v>0</v>
      </c>
      <c r="H58" s="89">
        <v>0</v>
      </c>
      <c r="I58" s="214">
        <v>0</v>
      </c>
      <c r="J58" s="89">
        <f t="shared" si="0"/>
        <v>85197</v>
      </c>
      <c r="K58" s="249"/>
    </row>
    <row r="59" spans="1:11" ht="15" hidden="1" x14ac:dyDescent="0.25">
      <c r="A59" s="116"/>
      <c r="B59" s="95" t="s">
        <v>180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214">
        <v>0</v>
      </c>
      <c r="J59" s="89">
        <f t="shared" si="0"/>
        <v>0</v>
      </c>
      <c r="K59" s="249"/>
    </row>
    <row r="60" spans="1:11" ht="15" hidden="1" x14ac:dyDescent="0.25">
      <c r="A60" s="116"/>
      <c r="B60" s="95" t="s">
        <v>181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214">
        <v>0</v>
      </c>
      <c r="J60" s="89">
        <f t="shared" si="0"/>
        <v>0</v>
      </c>
      <c r="K60" s="249"/>
    </row>
    <row r="61" spans="1:11" ht="15" hidden="1" x14ac:dyDescent="0.25">
      <c r="A61" s="116"/>
      <c r="B61" s="95" t="s">
        <v>182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214">
        <v>0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183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214">
        <v>0</v>
      </c>
      <c r="J62" s="89">
        <f t="shared" si="0"/>
        <v>0</v>
      </c>
      <c r="K62" s="249"/>
    </row>
    <row r="63" spans="1:11" ht="15" hidden="1" x14ac:dyDescent="0.25">
      <c r="A63" s="251"/>
      <c r="B63" s="100" t="s">
        <v>184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214">
        <v>0</v>
      </c>
      <c r="J63" s="89">
        <f t="shared" si="0"/>
        <v>0</v>
      </c>
      <c r="K63" s="249"/>
    </row>
    <row r="64" spans="1:11" ht="15" x14ac:dyDescent="0.25">
      <c r="A64" s="251"/>
      <c r="B64" s="100" t="s">
        <v>185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214">
        <v>3722984</v>
      </c>
      <c r="J64" s="89">
        <f t="shared" si="0"/>
        <v>3722984</v>
      </c>
      <c r="K64" s="249"/>
    </row>
    <row r="65" spans="1:11" ht="15" hidden="1" x14ac:dyDescent="0.25">
      <c r="A65" s="251"/>
      <c r="B65" s="100" t="s">
        <v>186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214">
        <v>0</v>
      </c>
      <c r="J65" s="89">
        <f t="shared" si="0"/>
        <v>0</v>
      </c>
      <c r="K65" s="249"/>
    </row>
    <row r="66" spans="1:11" ht="15" hidden="1" x14ac:dyDescent="0.25">
      <c r="A66" s="251"/>
      <c r="B66" s="100" t="s">
        <v>187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214">
        <v>0</v>
      </c>
      <c r="J66" s="89">
        <f t="shared" si="0"/>
        <v>0</v>
      </c>
      <c r="K66" s="249"/>
    </row>
    <row r="67" spans="1:11" ht="15" x14ac:dyDescent="0.25">
      <c r="A67" s="251"/>
      <c r="B67" s="100" t="s">
        <v>188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214">
        <v>4868323</v>
      </c>
      <c r="J67" s="89">
        <f t="shared" si="0"/>
        <v>4868323</v>
      </c>
      <c r="K67" s="249"/>
    </row>
    <row r="68" spans="1:11" ht="15" hidden="1" x14ac:dyDescent="0.25">
      <c r="A68" s="251"/>
      <c r="B68" s="100" t="s">
        <v>189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214">
        <v>0</v>
      </c>
      <c r="J68" s="89">
        <f t="shared" si="0"/>
        <v>0</v>
      </c>
      <c r="K68" s="249"/>
    </row>
    <row r="69" spans="1:11" ht="15" hidden="1" x14ac:dyDescent="0.25">
      <c r="A69" s="116"/>
      <c r="B69" s="95" t="s">
        <v>190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214">
        <v>0</v>
      </c>
      <c r="J69" s="89">
        <f t="shared" ref="J69:J133" si="3">SUM(C69:I69)</f>
        <v>0</v>
      </c>
      <c r="K69" s="249"/>
    </row>
    <row r="70" spans="1:11" ht="15" x14ac:dyDescent="0.25">
      <c r="A70" s="116"/>
      <c r="B70" s="95" t="s">
        <v>191</v>
      </c>
      <c r="C70" s="89">
        <v>1030245</v>
      </c>
      <c r="D70" s="89">
        <v>469008</v>
      </c>
      <c r="E70" s="89">
        <v>0</v>
      </c>
      <c r="F70" s="89">
        <v>0</v>
      </c>
      <c r="G70" s="89">
        <v>0</v>
      </c>
      <c r="H70" s="89">
        <v>5000</v>
      </c>
      <c r="I70" s="214">
        <v>0</v>
      </c>
      <c r="J70" s="89">
        <f t="shared" si="3"/>
        <v>1504253</v>
      </c>
      <c r="K70" s="249"/>
    </row>
    <row r="71" spans="1:11" ht="15" hidden="1" x14ac:dyDescent="0.25">
      <c r="A71" s="116"/>
      <c r="B71" s="95" t="s">
        <v>192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193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194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195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196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214">
        <v>0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197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214">
        <v>0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198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199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200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214">
        <v>0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201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214">
        <v>0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202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214">
        <v>0</v>
      </c>
      <c r="J81" s="89">
        <f t="shared" si="3"/>
        <v>0</v>
      </c>
      <c r="K81" s="249"/>
    </row>
    <row r="82" spans="1:12" ht="15" hidden="1" x14ac:dyDescent="0.25">
      <c r="A82" s="116"/>
      <c r="B82" s="95" t="s">
        <v>203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214">
        <v>0</v>
      </c>
      <c r="J82" s="89">
        <f t="shared" si="3"/>
        <v>0</v>
      </c>
      <c r="K82" s="249"/>
    </row>
    <row r="83" spans="1:12" ht="15" x14ac:dyDescent="0.25">
      <c r="A83" s="116"/>
      <c r="B83" s="95" t="s">
        <v>204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214">
        <v>3195193</v>
      </c>
      <c r="J83" s="89">
        <f t="shared" si="3"/>
        <v>3195193</v>
      </c>
      <c r="K83" s="249"/>
    </row>
    <row r="84" spans="1:12" ht="15" hidden="1" x14ac:dyDescent="0.25">
      <c r="A84" s="116"/>
      <c r="B84" s="95" t="s">
        <v>205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214">
        <v>0</v>
      </c>
      <c r="J84" s="89">
        <f t="shared" si="3"/>
        <v>0</v>
      </c>
      <c r="K84" s="249"/>
    </row>
    <row r="85" spans="1:12" x14ac:dyDescent="0.2">
      <c r="A85" s="116"/>
      <c r="B85" s="95" t="s">
        <v>206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214">
        <v>1948249</v>
      </c>
      <c r="J85" s="89">
        <f t="shared" si="3"/>
        <v>1948249</v>
      </c>
      <c r="K85" s="252"/>
    </row>
    <row r="86" spans="1:12" hidden="1" x14ac:dyDescent="0.2">
      <c r="A86" s="116"/>
      <c r="B86" s="95" t="s">
        <v>207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214">
        <v>0</v>
      </c>
      <c r="J86" s="89">
        <f t="shared" si="3"/>
        <v>0</v>
      </c>
      <c r="K86" s="252"/>
    </row>
    <row r="87" spans="1:12" ht="15" hidden="1" x14ac:dyDescent="0.25">
      <c r="A87" s="116"/>
      <c r="B87" s="95" t="s">
        <v>208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214">
        <v>0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209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214">
        <v>0</v>
      </c>
      <c r="J88" s="89">
        <f t="shared" si="3"/>
        <v>0</v>
      </c>
      <c r="K88" s="249"/>
    </row>
    <row r="89" spans="1:12" ht="15" hidden="1" x14ac:dyDescent="0.25">
      <c r="A89" s="116"/>
      <c r="B89" s="95" t="s">
        <v>210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214">
        <v>0</v>
      </c>
      <c r="J89" s="89">
        <f t="shared" si="3"/>
        <v>0</v>
      </c>
      <c r="K89" s="249"/>
      <c r="L89" s="77"/>
    </row>
    <row r="90" spans="1:12" ht="15" hidden="1" x14ac:dyDescent="0.25">
      <c r="A90" s="116"/>
      <c r="B90" s="95" t="s">
        <v>211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214">
        <v>0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212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214">
        <v>0</v>
      </c>
      <c r="J91" s="89">
        <f t="shared" si="3"/>
        <v>0</v>
      </c>
      <c r="K91" s="249"/>
      <c r="L91" s="77"/>
    </row>
    <row r="92" spans="1:12" ht="15" hidden="1" x14ac:dyDescent="0.25">
      <c r="A92" s="116"/>
      <c r="B92" s="95" t="s">
        <v>213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214">
        <v>0</v>
      </c>
      <c r="J92" s="89">
        <f t="shared" si="3"/>
        <v>0</v>
      </c>
      <c r="K92" s="249"/>
      <c r="L92" s="77"/>
    </row>
    <row r="93" spans="1:12" x14ac:dyDescent="0.2">
      <c r="A93" s="116"/>
      <c r="B93" s="95" t="s">
        <v>214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214">
        <v>979963</v>
      </c>
      <c r="J93" s="89">
        <f t="shared" si="3"/>
        <v>979963</v>
      </c>
      <c r="K93" s="252"/>
    </row>
    <row r="94" spans="1:12" hidden="1" x14ac:dyDescent="0.2">
      <c r="A94" s="116"/>
      <c r="B94" s="95" t="s">
        <v>215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214">
        <v>0</v>
      </c>
      <c r="J94" s="89">
        <f t="shared" si="3"/>
        <v>0</v>
      </c>
      <c r="K94" s="252"/>
    </row>
    <row r="95" spans="1:12" hidden="1" x14ac:dyDescent="0.2">
      <c r="A95" s="116"/>
      <c r="B95" s="95" t="s">
        <v>216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214">
        <v>0</v>
      </c>
      <c r="J95" s="89">
        <f t="shared" si="3"/>
        <v>0</v>
      </c>
      <c r="K95" s="252"/>
    </row>
    <row r="96" spans="1:12" x14ac:dyDescent="0.2">
      <c r="A96" s="116"/>
      <c r="B96" s="95" t="s">
        <v>217</v>
      </c>
      <c r="C96" s="89">
        <v>126578</v>
      </c>
      <c r="D96" s="89">
        <v>10822</v>
      </c>
      <c r="E96" s="89">
        <v>178200</v>
      </c>
      <c r="F96" s="89">
        <v>0</v>
      </c>
      <c r="G96" s="89">
        <v>0</v>
      </c>
      <c r="H96" s="89">
        <v>0</v>
      </c>
      <c r="I96" s="214">
        <v>0</v>
      </c>
      <c r="J96" s="89">
        <f t="shared" si="3"/>
        <v>315600</v>
      </c>
      <c r="K96" s="252"/>
    </row>
    <row r="97" spans="1:11" hidden="1" x14ac:dyDescent="0.2">
      <c r="A97" s="116"/>
      <c r="B97" s="95" t="s">
        <v>218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214">
        <v>0</v>
      </c>
      <c r="J97" s="89">
        <f t="shared" si="3"/>
        <v>0</v>
      </c>
      <c r="K97" s="252"/>
    </row>
    <row r="98" spans="1:11" hidden="1" x14ac:dyDescent="0.2">
      <c r="A98" s="116"/>
      <c r="B98" s="95" t="s">
        <v>219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214">
        <v>0</v>
      </c>
      <c r="J98" s="89">
        <f t="shared" si="3"/>
        <v>0</v>
      </c>
      <c r="K98" s="252"/>
    </row>
    <row r="99" spans="1:11" ht="15" hidden="1" x14ac:dyDescent="0.25">
      <c r="A99" s="251"/>
      <c r="B99" s="100" t="s">
        <v>220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214">
        <v>0</v>
      </c>
      <c r="J99" s="89">
        <f t="shared" si="3"/>
        <v>0</v>
      </c>
      <c r="K99" s="249"/>
    </row>
    <row r="100" spans="1:11" ht="15" hidden="1" x14ac:dyDescent="0.25">
      <c r="A100" s="251"/>
      <c r="B100" s="100" t="s">
        <v>221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214">
        <v>0</v>
      </c>
      <c r="J100" s="89">
        <f t="shared" si="3"/>
        <v>0</v>
      </c>
      <c r="K100" s="249"/>
    </row>
    <row r="101" spans="1:11" hidden="1" x14ac:dyDescent="0.2">
      <c r="A101" s="210" t="s">
        <v>10</v>
      </c>
      <c r="B101" s="211" t="s">
        <v>142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10</v>
      </c>
      <c r="B102" s="211" t="s">
        <v>141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x14ac:dyDescent="0.2">
      <c r="A103" s="210" t="s">
        <v>33</v>
      </c>
      <c r="B103" s="211" t="s">
        <v>222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4400</v>
      </c>
      <c r="J103" s="89">
        <f t="shared" si="3"/>
        <v>4400</v>
      </c>
      <c r="K103" s="255"/>
    </row>
    <row r="104" spans="1:11" hidden="1" x14ac:dyDescent="0.2">
      <c r="A104" s="210" t="s">
        <v>10</v>
      </c>
      <c r="B104" s="211" t="s">
        <v>138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214">
        <v>0</v>
      </c>
      <c r="J104" s="89">
        <f t="shared" si="3"/>
        <v>0</v>
      </c>
      <c r="K104" s="255"/>
    </row>
    <row r="105" spans="1:11" hidden="1" x14ac:dyDescent="0.2">
      <c r="A105" s="210" t="s">
        <v>10</v>
      </c>
      <c r="B105" s="211" t="s">
        <v>136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255"/>
    </row>
    <row r="106" spans="1:11" hidden="1" x14ac:dyDescent="0.2">
      <c r="A106" s="257"/>
      <c r="B106" s="95" t="s">
        <v>223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252"/>
    </row>
    <row r="107" spans="1:11" hidden="1" x14ac:dyDescent="0.2">
      <c r="A107" s="257"/>
      <c r="B107" s="95" t="s">
        <v>224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214">
        <v>0</v>
      </c>
      <c r="J107" s="89">
        <f t="shared" si="3"/>
        <v>0</v>
      </c>
      <c r="K107" s="252"/>
    </row>
    <row r="108" spans="1:11" hidden="1" x14ac:dyDescent="0.2">
      <c r="A108" s="257"/>
      <c r="B108" s="95" t="s">
        <v>225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252"/>
    </row>
    <row r="109" spans="1:11" hidden="1" x14ac:dyDescent="0.2">
      <c r="A109" s="257"/>
      <c r="B109" s="95" t="s">
        <v>226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0</v>
      </c>
      <c r="J109" s="89">
        <f t="shared" si="3"/>
        <v>0</v>
      </c>
      <c r="K109" s="252"/>
    </row>
    <row r="110" spans="1:11" ht="15" x14ac:dyDescent="0.25">
      <c r="A110" s="116"/>
      <c r="B110" s="95" t="s">
        <v>227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214">
        <v>400096</v>
      </c>
      <c r="J110" s="89">
        <f t="shared" si="3"/>
        <v>400096</v>
      </c>
      <c r="K110" s="249"/>
    </row>
    <row r="111" spans="1:11" ht="15" hidden="1" x14ac:dyDescent="0.25">
      <c r="A111" s="116"/>
      <c r="B111" s="95" t="s">
        <v>228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214">
        <v>0</v>
      </c>
      <c r="J111" s="89">
        <f t="shared" si="3"/>
        <v>0</v>
      </c>
      <c r="K111" s="249"/>
    </row>
    <row r="112" spans="1:11" ht="15" hidden="1" x14ac:dyDescent="0.25">
      <c r="A112" s="116"/>
      <c r="B112" s="95" t="s">
        <v>229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230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49"/>
    </row>
    <row r="114" spans="1:11" ht="15" x14ac:dyDescent="0.25">
      <c r="A114" s="116"/>
      <c r="B114" s="95" t="s">
        <v>231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5000</v>
      </c>
      <c r="J114" s="89">
        <f t="shared" si="3"/>
        <v>5000</v>
      </c>
      <c r="K114" s="249"/>
    </row>
    <row r="115" spans="1:11" ht="15" hidden="1" x14ac:dyDescent="0.25">
      <c r="A115" s="116"/>
      <c r="B115" s="95" t="s">
        <v>232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233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49"/>
    </row>
    <row r="117" spans="1:11" ht="15" hidden="1" x14ac:dyDescent="0.25">
      <c r="A117" s="116"/>
      <c r="B117" s="95" t="s">
        <v>234</v>
      </c>
      <c r="C117" s="89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214">
        <v>0</v>
      </c>
      <c r="J117" s="89">
        <f t="shared" si="3"/>
        <v>0</v>
      </c>
      <c r="K117" s="249"/>
    </row>
    <row r="118" spans="1:11" ht="15" x14ac:dyDescent="0.25">
      <c r="A118" s="116"/>
      <c r="B118" s="95" t="s">
        <v>9</v>
      </c>
      <c r="C118" s="89">
        <v>5376820</v>
      </c>
      <c r="D118" s="89">
        <v>2352967</v>
      </c>
      <c r="E118" s="89">
        <v>785500</v>
      </c>
      <c r="F118" s="89">
        <v>0</v>
      </c>
      <c r="G118" s="89">
        <v>85153</v>
      </c>
      <c r="H118" s="89">
        <v>383694</v>
      </c>
      <c r="I118" s="214">
        <v>0</v>
      </c>
      <c r="J118" s="89">
        <f t="shared" si="3"/>
        <v>8984134</v>
      </c>
      <c r="K118" s="249"/>
    </row>
    <row r="119" spans="1:11" ht="15" hidden="1" x14ac:dyDescent="0.25">
      <c r="A119" s="116"/>
      <c r="B119" s="95" t="s">
        <v>581</v>
      </c>
      <c r="C119" s="89">
        <v>0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89">
        <v>0</v>
      </c>
      <c r="J119" s="89">
        <f t="shared" si="3"/>
        <v>0</v>
      </c>
      <c r="K119" s="249"/>
    </row>
    <row r="120" spans="1:11" ht="15" hidden="1" x14ac:dyDescent="0.25">
      <c r="A120" s="116"/>
      <c r="B120" s="95" t="s">
        <v>235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214">
        <v>0</v>
      </c>
      <c r="J120" s="89">
        <f t="shared" si="3"/>
        <v>0</v>
      </c>
      <c r="K120" s="249"/>
    </row>
    <row r="121" spans="1:11" ht="15" x14ac:dyDescent="0.25">
      <c r="A121" s="116"/>
      <c r="B121" s="95" t="s">
        <v>236</v>
      </c>
      <c r="C121" s="89">
        <v>797498</v>
      </c>
      <c r="D121" s="89">
        <v>417026</v>
      </c>
      <c r="E121" s="89">
        <v>1182566</v>
      </c>
      <c r="F121" s="89">
        <v>0</v>
      </c>
      <c r="G121" s="89">
        <v>0</v>
      </c>
      <c r="H121" s="89">
        <v>0</v>
      </c>
      <c r="I121" s="214">
        <v>0</v>
      </c>
      <c r="J121" s="89">
        <f t="shared" si="3"/>
        <v>2397090</v>
      </c>
      <c r="K121" s="249"/>
    </row>
    <row r="122" spans="1:11" ht="15" hidden="1" x14ac:dyDescent="0.25">
      <c r="A122" s="116"/>
      <c r="B122" s="95" t="s">
        <v>237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116"/>
      <c r="B123" s="95" t="s">
        <v>238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0</v>
      </c>
      <c r="J123" s="89">
        <f t="shared" si="3"/>
        <v>0</v>
      </c>
      <c r="K123" s="249"/>
    </row>
    <row r="124" spans="1:11" ht="15" hidden="1" x14ac:dyDescent="0.25">
      <c r="A124" s="251"/>
      <c r="B124" s="100" t="s">
        <v>239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1"/>
      <c r="B125" s="100" t="s">
        <v>240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241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214">
        <v>0</v>
      </c>
      <c r="J126" s="89">
        <f t="shared" si="3"/>
        <v>0</v>
      </c>
      <c r="K126" s="249"/>
    </row>
    <row r="127" spans="1:11" ht="15" hidden="1" x14ac:dyDescent="0.25">
      <c r="A127" s="258"/>
      <c r="B127" s="244" t="s">
        <v>242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hidden="1" x14ac:dyDescent="0.25">
      <c r="A128" s="251"/>
      <c r="B128" s="100" t="s">
        <v>243</v>
      </c>
      <c r="C128" s="89">
        <v>0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214">
        <v>0</v>
      </c>
      <c r="J128" s="89">
        <f t="shared" si="3"/>
        <v>0</v>
      </c>
      <c r="K128" s="249"/>
    </row>
    <row r="129" spans="1:11" ht="15" hidden="1" x14ac:dyDescent="0.25">
      <c r="A129" s="251"/>
      <c r="B129" s="100" t="s">
        <v>244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214">
        <v>0</v>
      </c>
      <c r="J129" s="89">
        <f t="shared" si="3"/>
        <v>0</v>
      </c>
      <c r="K129" s="249"/>
    </row>
    <row r="130" spans="1:11" ht="15" hidden="1" x14ac:dyDescent="0.25">
      <c r="A130" s="260" t="s">
        <v>245</v>
      </c>
      <c r="B130" s="317"/>
      <c r="C130" s="89"/>
      <c r="D130" s="89"/>
      <c r="E130" s="89"/>
      <c r="F130" s="89"/>
      <c r="G130" s="89"/>
      <c r="H130" s="89"/>
      <c r="I130" s="214"/>
      <c r="J130" s="89"/>
      <c r="K130" s="249"/>
    </row>
    <row r="131" spans="1:11" ht="15" hidden="1" x14ac:dyDescent="0.25">
      <c r="A131" s="116"/>
      <c r="B131" s="95" t="s">
        <v>246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49"/>
    </row>
    <row r="132" spans="1:11" hidden="1" x14ac:dyDescent="0.2">
      <c r="A132" s="251"/>
      <c r="B132" s="100" t="s">
        <v>247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si="3"/>
        <v>0</v>
      </c>
      <c r="K132" s="252"/>
    </row>
    <row r="133" spans="1:11" hidden="1" x14ac:dyDescent="0.2">
      <c r="A133" s="116"/>
      <c r="B133" s="95" t="s">
        <v>248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214">
        <v>0</v>
      </c>
      <c r="J133" s="89">
        <f t="shared" si="3"/>
        <v>0</v>
      </c>
      <c r="K133" s="252"/>
    </row>
    <row r="134" spans="1:11" hidden="1" x14ac:dyDescent="0.2">
      <c r="A134" s="116"/>
      <c r="B134" s="95" t="s">
        <v>249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ref="J134:J149" si="4">SUM(C134:I134)</f>
        <v>0</v>
      </c>
      <c r="K134" s="252"/>
    </row>
    <row r="135" spans="1:11" hidden="1" x14ac:dyDescent="0.2">
      <c r="A135" s="116"/>
      <c r="B135" s="95" t="s">
        <v>250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251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252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253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254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255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x14ac:dyDescent="0.2">
      <c r="A141" s="116"/>
      <c r="B141" s="95" t="s">
        <v>256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10219177</v>
      </c>
      <c r="J141" s="89">
        <f t="shared" si="4"/>
        <v>10219177</v>
      </c>
      <c r="K141" s="92"/>
    </row>
    <row r="142" spans="1:11" hidden="1" x14ac:dyDescent="0.2">
      <c r="A142" s="116"/>
      <c r="B142" s="95" t="s">
        <v>257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214">
        <v>0</v>
      </c>
      <c r="J142" s="89">
        <f t="shared" si="4"/>
        <v>0</v>
      </c>
      <c r="K142" s="92"/>
    </row>
    <row r="143" spans="1:11" hidden="1" x14ac:dyDescent="0.2">
      <c r="A143" s="116"/>
      <c r="B143" s="95" t="s">
        <v>258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214">
        <v>0</v>
      </c>
      <c r="J143" s="89">
        <f t="shared" si="4"/>
        <v>0</v>
      </c>
      <c r="K143" s="92"/>
    </row>
    <row r="144" spans="1:11" hidden="1" x14ac:dyDescent="0.2">
      <c r="A144" s="116"/>
      <c r="B144" s="95" t="s">
        <v>259</v>
      </c>
      <c r="C144" s="89">
        <v>0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  <c r="I144" s="214">
        <v>0</v>
      </c>
      <c r="J144" s="89">
        <f t="shared" si="4"/>
        <v>0</v>
      </c>
      <c r="K144" s="92"/>
    </row>
    <row r="145" spans="1:11" x14ac:dyDescent="0.2">
      <c r="A145" s="116"/>
      <c r="B145" s="95" t="s">
        <v>260</v>
      </c>
      <c r="C145" s="89">
        <v>0</v>
      </c>
      <c r="D145" s="89">
        <v>0</v>
      </c>
      <c r="E145" s="89">
        <v>0</v>
      </c>
      <c r="F145" s="89">
        <v>0</v>
      </c>
      <c r="G145" s="89">
        <v>0</v>
      </c>
      <c r="H145" s="89">
        <v>0</v>
      </c>
      <c r="I145" s="214">
        <v>1224759</v>
      </c>
      <c r="J145" s="89">
        <f t="shared" si="4"/>
        <v>1224759</v>
      </c>
      <c r="K145" s="92"/>
    </row>
    <row r="146" spans="1:11" ht="15.75" thickBot="1" x14ac:dyDescent="0.3">
      <c r="A146" s="261" t="s">
        <v>456</v>
      </c>
      <c r="B146" s="262"/>
      <c r="C146" s="263">
        <f>SUM(C56:C145)</f>
        <v>7387265</v>
      </c>
      <c r="D146" s="263">
        <f t="shared" ref="D146:H146" si="5">SUM(D56:D145)</f>
        <v>3275013</v>
      </c>
      <c r="E146" s="263">
        <f t="shared" si="5"/>
        <v>2150149</v>
      </c>
      <c r="F146" s="263">
        <f t="shared" si="5"/>
        <v>0</v>
      </c>
      <c r="G146" s="263">
        <f t="shared" si="5"/>
        <v>85153</v>
      </c>
      <c r="H146" s="263">
        <f t="shared" si="5"/>
        <v>388694</v>
      </c>
      <c r="I146" s="264">
        <f>SUM(I56:I145)</f>
        <v>26568144</v>
      </c>
      <c r="J146" s="265">
        <f>SUM(C146:I146)</f>
        <v>39854418</v>
      </c>
      <c r="K146" s="266"/>
    </row>
    <row r="147" spans="1:11" ht="18.75" customHeight="1" thickBot="1" x14ac:dyDescent="0.3">
      <c r="A147" s="245" t="s">
        <v>457</v>
      </c>
      <c r="B147" s="246"/>
      <c r="C147" s="247">
        <f>C55+C146</f>
        <v>38528934</v>
      </c>
      <c r="D147" s="247">
        <f t="shared" ref="D147:I147" si="6">D55+D146</f>
        <v>16250389</v>
      </c>
      <c r="E147" s="247">
        <f t="shared" si="6"/>
        <v>12243939</v>
      </c>
      <c r="F147" s="247">
        <f t="shared" si="6"/>
        <v>4500000</v>
      </c>
      <c r="G147" s="247">
        <f t="shared" si="6"/>
        <v>613941</v>
      </c>
      <c r="H147" s="247">
        <f t="shared" si="6"/>
        <v>2683504</v>
      </c>
      <c r="I147" s="248">
        <f t="shared" si="6"/>
        <v>32577429</v>
      </c>
      <c r="J147" s="236">
        <f>SUM(C147:I149)</f>
        <v>205796272</v>
      </c>
    </row>
    <row r="148" spans="1:11" ht="19.5" customHeight="1" x14ac:dyDescent="0.25">
      <c r="A148" s="267" t="s">
        <v>108</v>
      </c>
      <c r="B148" s="268" t="s">
        <v>458</v>
      </c>
      <c r="C148" s="269">
        <v>0</v>
      </c>
      <c r="D148" s="269">
        <v>0</v>
      </c>
      <c r="E148" s="269">
        <v>0</v>
      </c>
      <c r="F148" s="269">
        <v>-4500000</v>
      </c>
      <c r="G148" s="269">
        <v>0</v>
      </c>
      <c r="H148" s="269">
        <v>0</v>
      </c>
      <c r="I148" s="270">
        <v>0</v>
      </c>
      <c r="J148" s="144">
        <f t="shared" si="4"/>
        <v>-4500000</v>
      </c>
    </row>
    <row r="149" spans="1:11" ht="21.75" customHeight="1" thickBot="1" x14ac:dyDescent="0.3">
      <c r="A149" s="271" t="s">
        <v>459</v>
      </c>
      <c r="B149" s="103"/>
      <c r="C149" s="272">
        <f>C147+C148</f>
        <v>38528934</v>
      </c>
      <c r="D149" s="272">
        <f t="shared" ref="D149:I149" si="7">D147+D148</f>
        <v>16250389</v>
      </c>
      <c r="E149" s="272">
        <f t="shared" si="7"/>
        <v>12243939</v>
      </c>
      <c r="F149" s="272">
        <f t="shared" si="7"/>
        <v>0</v>
      </c>
      <c r="G149" s="272">
        <f t="shared" si="7"/>
        <v>613941</v>
      </c>
      <c r="H149" s="272">
        <f t="shared" si="7"/>
        <v>2683504</v>
      </c>
      <c r="I149" s="272">
        <f t="shared" si="7"/>
        <v>32577429</v>
      </c>
      <c r="J149" s="272">
        <f t="shared" si="4"/>
        <v>102898136</v>
      </c>
    </row>
    <row r="150" spans="1:11" ht="15" thickTop="1" x14ac:dyDescent="0.2">
      <c r="A150" s="273"/>
      <c r="B150" s="190"/>
      <c r="C150" s="274"/>
      <c r="D150" s="274"/>
      <c r="E150" s="274"/>
      <c r="F150" s="274"/>
      <c r="G150" s="274"/>
      <c r="H150" s="274"/>
      <c r="I150" s="274"/>
      <c r="J150" s="274"/>
    </row>
    <row r="151" spans="1:11" x14ac:dyDescent="0.2">
      <c r="A151" s="275"/>
      <c r="B151" s="191" t="str">
        <f>'PCFP - All Revenue AA-1 R-4'!C81</f>
        <v>Douglas County School District</v>
      </c>
      <c r="C151" s="274" t="s">
        <v>428</v>
      </c>
      <c r="D151" s="274"/>
      <c r="E151" s="276"/>
      <c r="F151" s="276"/>
      <c r="G151" s="276"/>
      <c r="H151" s="280" t="s">
        <v>492</v>
      </c>
      <c r="I151" s="280"/>
      <c r="J151" s="191" t="s">
        <v>493</v>
      </c>
    </row>
    <row r="152" spans="1:11" x14ac:dyDescent="0.2">
      <c r="A152" s="279"/>
      <c r="B152" s="193" t="s">
        <v>460</v>
      </c>
      <c r="C152" s="274" t="s">
        <v>430</v>
      </c>
      <c r="D152" s="274"/>
      <c r="E152" s="274"/>
      <c r="F152" s="274"/>
      <c r="G152" s="274"/>
      <c r="J152" s="278" t="str">
        <f>"Budget Fiscal Year "&amp;TEXT('[4]Form 1'!$C$136, "mm/dd/yy")</f>
        <v>Budget Fiscal Year 2019-2020</v>
      </c>
    </row>
    <row r="153" spans="1:11" x14ac:dyDescent="0.2">
      <c r="J153" s="280" t="s">
        <v>461</v>
      </c>
    </row>
  </sheetData>
  <pageMargins left="0.55000000000000004" right="0" top="0.5" bottom="0.25" header="0.5" footer="0"/>
  <pageSetup scale="69" fitToHeight="3" orientation="landscape" r:id="rId1"/>
  <headerFooter alignWithMargins="0">
    <oddFooter>&amp;C&amp;8FORM 4405LGF
Last Revised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15F9B-8855-4E54-B364-27E3AC87DCED}">
  <dimension ref="A2:I17"/>
  <sheetViews>
    <sheetView showGridLines="0" workbookViewId="0">
      <selection activeCell="N22" sqref="N22"/>
    </sheetView>
  </sheetViews>
  <sheetFormatPr defaultRowHeight="12.75" x14ac:dyDescent="0.2"/>
  <sheetData>
    <row r="2" spans="1:9" ht="18" x14ac:dyDescent="0.25">
      <c r="A2" s="6" t="s">
        <v>591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2EE8-E3D1-4A88-8AAE-932CBE73CF2F}">
  <dimension ref="A1:G159"/>
  <sheetViews>
    <sheetView showGridLines="0" zoomScale="85" zoomScaleNormal="85" workbookViewId="0">
      <selection activeCell="I20" sqref="I20"/>
    </sheetView>
  </sheetViews>
  <sheetFormatPr defaultRowHeight="12.75" x14ac:dyDescent="0.2"/>
  <cols>
    <col min="1" max="1" width="5.140625" style="2" bestFit="1" customWidth="1"/>
    <col min="2" max="2" width="41.140625" bestFit="1" customWidth="1"/>
    <col min="3" max="3" width="16.28515625" style="12" bestFit="1" customWidth="1"/>
    <col min="4" max="4" width="18.7109375" style="12" bestFit="1" customWidth="1"/>
    <col min="5" max="5" width="17.140625" bestFit="1" customWidth="1"/>
    <col min="6" max="6" width="16.710937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10" t="s">
        <v>592</v>
      </c>
      <c r="D1" s="10" t="s">
        <v>119</v>
      </c>
    </row>
    <row r="3" spans="1:5" s="15" customFormat="1" ht="38.25" x14ac:dyDescent="0.2">
      <c r="A3" s="13"/>
      <c r="B3" s="13" t="s">
        <v>120</v>
      </c>
      <c r="C3" s="14" t="s">
        <v>545</v>
      </c>
      <c r="D3" s="14" t="s">
        <v>546</v>
      </c>
      <c r="E3" s="13" t="s">
        <v>593</v>
      </c>
    </row>
    <row r="4" spans="1:5" x14ac:dyDescent="0.2">
      <c r="B4" s="3"/>
    </row>
    <row r="5" spans="1:5" x14ac:dyDescent="0.2">
      <c r="B5" s="16" t="s">
        <v>124</v>
      </c>
      <c r="C5" s="12">
        <f>'19_20 District Budget-5'!T28</f>
        <v>98067232</v>
      </c>
      <c r="D5" s="12">
        <f>SUM('PCFP - All Revenue AA-1 R-5'!F33,'PCFP - All Revenue AA-1 R-5'!H33)</f>
        <v>33059233</v>
      </c>
      <c r="E5" s="17">
        <f>D5-C5</f>
        <v>-65007999</v>
      </c>
    </row>
    <row r="6" spans="1:5" x14ac:dyDescent="0.2">
      <c r="E6" s="17"/>
    </row>
    <row r="7" spans="1:5" x14ac:dyDescent="0.2">
      <c r="B7" s="16" t="s">
        <v>125</v>
      </c>
      <c r="C7" s="12">
        <f>'19_20 District Budget-5'!T41</f>
        <v>52198679</v>
      </c>
      <c r="D7" s="12">
        <f>SUM('PCFP - All Revenue AA-1 R-5'!F49,'PCFP - All Revenue AA-1 R-5'!H49)</f>
        <v>93918614.334770232</v>
      </c>
      <c r="E7" s="17">
        <f>D7-C7</f>
        <v>41719935.334770232</v>
      </c>
    </row>
    <row r="8" spans="1:5" x14ac:dyDescent="0.2">
      <c r="E8" s="17"/>
    </row>
    <row r="9" spans="1:5" x14ac:dyDescent="0.2">
      <c r="B9" s="16" t="s">
        <v>126</v>
      </c>
      <c r="C9" s="12">
        <f>'19_20 District Budget-5'!T52</f>
        <v>8133515</v>
      </c>
      <c r="D9" s="12">
        <f>SUM('PCFP - All Revenue AA-1 R-5'!F57,'PCFP - All Revenue AA-1 R-5'!H57)</f>
        <v>8133515</v>
      </c>
      <c r="E9" s="17">
        <f>D9-C9</f>
        <v>0</v>
      </c>
    </row>
    <row r="10" spans="1:5" x14ac:dyDescent="0.2">
      <c r="E10" s="17"/>
    </row>
    <row r="11" spans="1:5" x14ac:dyDescent="0.2">
      <c r="B11" s="16" t="s">
        <v>127</v>
      </c>
      <c r="C11" s="12">
        <f>'19_20 District Budget-5'!T59</f>
        <v>437866</v>
      </c>
      <c r="D11" s="12">
        <f>SUM('PCFP - All Revenue AA-1 R-5'!F67,'PCFP - All Revenue AA-1 R-5'!H67)</f>
        <v>437866</v>
      </c>
      <c r="E11" s="17">
        <f>D11-C11</f>
        <v>0</v>
      </c>
    </row>
    <row r="12" spans="1:5" x14ac:dyDescent="0.2">
      <c r="E12" s="17"/>
    </row>
    <row r="13" spans="1:5" s="2" customFormat="1" x14ac:dyDescent="0.2">
      <c r="B13" s="18" t="s">
        <v>128</v>
      </c>
      <c r="C13" s="19">
        <f t="shared" ref="C13" si="0">SUM(C5:C12)</f>
        <v>158837292</v>
      </c>
      <c r="D13" s="19">
        <f>SUM(D5:D12)</f>
        <v>135549228.33477023</v>
      </c>
      <c r="E13" s="20">
        <f>D13-C13</f>
        <v>-23288063.665229768</v>
      </c>
    </row>
    <row r="15" spans="1:5" x14ac:dyDescent="0.2">
      <c r="B15" s="16" t="s">
        <v>129</v>
      </c>
      <c r="C15" s="12">
        <f>'19_20 District Budget-5'!T68</f>
        <v>35408801</v>
      </c>
      <c r="D15" s="12">
        <f>SUM('PCFP - All Revenue AA-1 R-5'!F71,'PCFP - All Revenue AA-1 R-5'!H71)</f>
        <v>35408800</v>
      </c>
      <c r="E15" s="21">
        <f>D15-C15</f>
        <v>-1</v>
      </c>
    </row>
    <row r="17" spans="1:7" x14ac:dyDescent="0.2">
      <c r="A17" s="22"/>
      <c r="B17" s="23" t="s">
        <v>306</v>
      </c>
      <c r="C17" s="24">
        <f t="shared" ref="C17" si="1">SUM(C13:C15)</f>
        <v>194246093</v>
      </c>
      <c r="D17" s="24">
        <f>SUM(D13:D15)</f>
        <v>170958028.33477023</v>
      </c>
      <c r="E17" s="25">
        <f>D17-C17</f>
        <v>-23288064.665229768</v>
      </c>
      <c r="F17" s="26"/>
      <c r="G17" s="17"/>
    </row>
    <row r="18" spans="1:7" s="2" customFormat="1" x14ac:dyDescent="0.2">
      <c r="A18" s="27"/>
      <c r="B18" s="28" t="s">
        <v>131</v>
      </c>
      <c r="C18" s="285">
        <f>SUM(C21,C38,C70)</f>
        <v>194246093</v>
      </c>
      <c r="D18" s="285">
        <f>SUM(D21,D38,D70)</f>
        <v>194246093</v>
      </c>
      <c r="E18" s="29">
        <f>D18-C18</f>
        <v>0</v>
      </c>
    </row>
    <row r="19" spans="1:7" x14ac:dyDescent="0.2">
      <c r="A19" s="30"/>
      <c r="B19" s="286" t="s">
        <v>132</v>
      </c>
      <c r="C19" s="909">
        <f t="shared" ref="C19:D19" si="2">C17-C18</f>
        <v>0</v>
      </c>
      <c r="D19" s="909">
        <f t="shared" si="2"/>
        <v>-23288064.665229768</v>
      </c>
      <c r="E19" s="29">
        <f>D19-C19</f>
        <v>-23288064.665229768</v>
      </c>
    </row>
    <row r="21" spans="1:7" x14ac:dyDescent="0.2">
      <c r="A21" s="3"/>
      <c r="B21" s="3" t="s">
        <v>133</v>
      </c>
      <c r="C21" s="21">
        <f>SUM(C22:C36)</f>
        <v>83208462</v>
      </c>
      <c r="D21" s="21">
        <f>SUM(D22:D36)</f>
        <v>63941073</v>
      </c>
    </row>
    <row r="22" spans="1:7" hidden="1" x14ac:dyDescent="0.2">
      <c r="A22" s="3">
        <v>100</v>
      </c>
      <c r="B22" s="3" t="s">
        <v>134</v>
      </c>
      <c r="C22" s="21">
        <f>'19_20 District Budget-5'!T75</f>
        <v>61351777</v>
      </c>
      <c r="D22" s="21">
        <f>'PCFP-All Expense AA-1 Modif-5'!J3</f>
        <v>51088290</v>
      </c>
      <c r="E22" s="288"/>
    </row>
    <row r="23" spans="1:7" hidden="1" x14ac:dyDescent="0.2">
      <c r="A23" s="3">
        <v>200</v>
      </c>
      <c r="B23" s="3" t="s">
        <v>135</v>
      </c>
      <c r="C23" s="21">
        <f>'19_20 District Budget-5'!T76</f>
        <v>12894598</v>
      </c>
      <c r="D23" s="21">
        <f>'PCFP-All Expense AA-1 Modif-5'!J4</f>
        <v>5944098</v>
      </c>
      <c r="E23" s="288"/>
    </row>
    <row r="24" spans="1:7" hidden="1" x14ac:dyDescent="0.2">
      <c r="A24" s="3" t="s">
        <v>10</v>
      </c>
      <c r="B24" s="3" t="s">
        <v>136</v>
      </c>
      <c r="C24" s="21">
        <f>'19_20 District Budget-5'!T77</f>
        <v>0</v>
      </c>
      <c r="D24" s="21">
        <f>'PCFP-All Expense AA-1 Modif-5'!J5</f>
        <v>0</v>
      </c>
      <c r="E24" s="288"/>
    </row>
    <row r="25" spans="1:7" hidden="1" x14ac:dyDescent="0.2">
      <c r="A25" s="3">
        <v>270</v>
      </c>
      <c r="B25" s="3" t="s">
        <v>137</v>
      </c>
      <c r="C25" s="21">
        <f>'19_20 District Budget-5'!T78</f>
        <v>321563</v>
      </c>
      <c r="D25" s="21">
        <f>'PCFP-All Expense AA-1 Modif-5'!J6</f>
        <v>0</v>
      </c>
      <c r="E25" s="288"/>
    </row>
    <row r="26" spans="1:7" hidden="1" x14ac:dyDescent="0.2">
      <c r="A26" s="3" t="s">
        <v>10</v>
      </c>
      <c r="B26" s="3" t="s">
        <v>138</v>
      </c>
      <c r="C26" s="21">
        <f>'19_20 District Budget-5'!T79</f>
        <v>0</v>
      </c>
      <c r="D26" s="21">
        <f>'PCFP-All Expense AA-1 Modif-5'!J7</f>
        <v>0</v>
      </c>
      <c r="E26" s="288"/>
    </row>
    <row r="27" spans="1:7" hidden="1" x14ac:dyDescent="0.2">
      <c r="A27" s="3">
        <v>300</v>
      </c>
      <c r="B27" s="3" t="s">
        <v>139</v>
      </c>
      <c r="C27" s="21">
        <f>'19_20 District Budget-5'!T80</f>
        <v>3354523</v>
      </c>
      <c r="D27" s="21">
        <f>'PCFP-All Expense AA-1 Modif-5'!J8</f>
        <v>2952851</v>
      </c>
      <c r="E27" s="288"/>
    </row>
    <row r="28" spans="1:7" hidden="1" x14ac:dyDescent="0.2">
      <c r="A28" s="3">
        <v>400</v>
      </c>
      <c r="B28" s="3" t="s">
        <v>140</v>
      </c>
      <c r="C28" s="21">
        <f>'19_20 District Budget-5'!T81</f>
        <v>3061165</v>
      </c>
      <c r="D28" s="21">
        <f>'PCFP-All Expense AA-1 Modif-5'!J9</f>
        <v>2080412</v>
      </c>
      <c r="E28" s="288"/>
    </row>
    <row r="29" spans="1:7" hidden="1" x14ac:dyDescent="0.2">
      <c r="A29" s="3" t="s">
        <v>10</v>
      </c>
      <c r="B29" s="3" t="s">
        <v>141</v>
      </c>
      <c r="C29" s="21">
        <f>'19_20 District Budget-5'!T82</f>
        <v>0</v>
      </c>
      <c r="D29" s="21">
        <f>'PCFP-All Expense AA-1 Modif-5'!J10</f>
        <v>0</v>
      </c>
      <c r="E29" s="288"/>
    </row>
    <row r="30" spans="1:7" hidden="1" x14ac:dyDescent="0.2">
      <c r="A30" s="3" t="s">
        <v>10</v>
      </c>
      <c r="B30" s="3" t="s">
        <v>142</v>
      </c>
      <c r="C30" s="21">
        <f>'19_20 District Budget-5'!T83</f>
        <v>0</v>
      </c>
      <c r="D30" s="21">
        <f>'PCFP-All Expense AA-1 Modif-5'!J11</f>
        <v>0</v>
      </c>
      <c r="E30" s="288"/>
    </row>
    <row r="31" spans="1:7" hidden="1" x14ac:dyDescent="0.2">
      <c r="A31" s="3">
        <v>440</v>
      </c>
      <c r="B31" s="3" t="s">
        <v>143</v>
      </c>
      <c r="C31" s="21">
        <f>'19_20 District Budget-5'!T85</f>
        <v>0</v>
      </c>
      <c r="D31" s="21">
        <f>'PCFP-All Expense AA-1 Modif-5'!J12</f>
        <v>0</v>
      </c>
      <c r="E31" s="288"/>
    </row>
    <row r="32" spans="1:7" hidden="1" x14ac:dyDescent="0.2">
      <c r="A32" s="3">
        <v>500</v>
      </c>
      <c r="B32" s="3" t="s">
        <v>144</v>
      </c>
      <c r="C32" s="21">
        <f>'19_20 District Budget-5'!T86</f>
        <v>0</v>
      </c>
      <c r="D32" s="21">
        <f>'PCFP-All Expense AA-1 Modif-5'!J13</f>
        <v>0</v>
      </c>
      <c r="E32" s="288"/>
    </row>
    <row r="33" spans="1:5" hidden="1" x14ac:dyDescent="0.2">
      <c r="A33" s="3">
        <v>600</v>
      </c>
      <c r="B33" s="3" t="s">
        <v>145</v>
      </c>
      <c r="C33" s="21">
        <f>'19_20 District Budget-5'!T87</f>
        <v>206027</v>
      </c>
      <c r="D33" s="21">
        <f>'PCFP-All Expense AA-1 Modif-5'!J14</f>
        <v>0</v>
      </c>
      <c r="E33" s="288"/>
    </row>
    <row r="34" spans="1:5" hidden="1" x14ac:dyDescent="0.2">
      <c r="A34" s="3">
        <v>800</v>
      </c>
      <c r="B34" s="3" t="s">
        <v>146</v>
      </c>
      <c r="C34" s="21">
        <f>'19_20 District Budget-5'!T88</f>
        <v>143387</v>
      </c>
      <c r="D34" s="21">
        <f>'PCFP-All Expense AA-1 Modif-5'!J15</f>
        <v>0</v>
      </c>
      <c r="E34" s="288"/>
    </row>
    <row r="35" spans="1:5" hidden="1" x14ac:dyDescent="0.2">
      <c r="A35" s="3">
        <v>910</v>
      </c>
      <c r="B35" s="3" t="s">
        <v>147</v>
      </c>
      <c r="C35" s="21">
        <f>'19_20 District Budget-5'!T89</f>
        <v>316880</v>
      </c>
      <c r="D35" s="21">
        <f>'PCFP-All Expense AA-1 Modif-5'!J16</f>
        <v>1875422</v>
      </c>
      <c r="E35" s="288"/>
    </row>
    <row r="36" spans="1:5" hidden="1" x14ac:dyDescent="0.2">
      <c r="A36" s="3">
        <v>920</v>
      </c>
      <c r="B36" s="3" t="s">
        <v>148</v>
      </c>
      <c r="C36" s="21">
        <f>'19_20 District Budget-5'!T90</f>
        <v>1558542</v>
      </c>
      <c r="D36" s="21">
        <f>'PCFP-All Expense AA-1 Modif-5'!J17</f>
        <v>0</v>
      </c>
      <c r="E36" s="288"/>
    </row>
    <row r="37" spans="1:5" x14ac:dyDescent="0.2">
      <c r="A37" s="3"/>
      <c r="B37" s="3"/>
      <c r="C37" s="21"/>
      <c r="D37" s="21"/>
      <c r="E37" s="288"/>
    </row>
    <row r="38" spans="1:5" x14ac:dyDescent="0.2">
      <c r="A38" s="3" t="s">
        <v>149</v>
      </c>
      <c r="B38" s="3" t="s">
        <v>150</v>
      </c>
      <c r="C38" s="21">
        <f>SUM(C39:C68)</f>
        <v>101976894</v>
      </c>
      <c r="D38" s="21">
        <f>SUM(D39:D68)</f>
        <v>54011729</v>
      </c>
      <c r="E38" s="288"/>
    </row>
    <row r="39" spans="1:5" hidden="1" x14ac:dyDescent="0.2">
      <c r="A39" s="3">
        <v>2100</v>
      </c>
      <c r="B39" s="3" t="s">
        <v>151</v>
      </c>
      <c r="C39" s="21">
        <f>'19_20 District Budget-5'!T93</f>
        <v>7831313</v>
      </c>
      <c r="D39" s="21">
        <f>'PCFP-All Expense AA-1 Modif-5'!J21</f>
        <v>7733473</v>
      </c>
      <c r="E39" s="288"/>
    </row>
    <row r="40" spans="1:5" hidden="1" x14ac:dyDescent="0.2">
      <c r="A40" s="3">
        <v>2200</v>
      </c>
      <c r="B40" s="3" t="s">
        <v>152</v>
      </c>
      <c r="C40" s="21">
        <f>'19_20 District Budget-5'!T94</f>
        <v>4094528</v>
      </c>
      <c r="D40" s="21">
        <f>'PCFP-All Expense AA-1 Modif-5'!J22</f>
        <v>2470930</v>
      </c>
      <c r="E40" s="288"/>
    </row>
    <row r="41" spans="1:5" hidden="1" x14ac:dyDescent="0.2">
      <c r="A41" s="3">
        <v>2300</v>
      </c>
      <c r="B41" s="3" t="s">
        <v>153</v>
      </c>
      <c r="C41" s="21">
        <f>'19_20 District Budget-5'!T95</f>
        <v>1200430</v>
      </c>
      <c r="D41" s="21">
        <f>'PCFP-All Expense AA-1 Modif-5'!J23</f>
        <v>1195930</v>
      </c>
      <c r="E41" s="288"/>
    </row>
    <row r="42" spans="1:5" hidden="1" x14ac:dyDescent="0.2">
      <c r="A42" s="3">
        <v>2400</v>
      </c>
      <c r="B42" s="3" t="s">
        <v>154</v>
      </c>
      <c r="C42" s="21">
        <f>'19_20 District Budget-5'!T96</f>
        <v>8230070</v>
      </c>
      <c r="D42" s="21">
        <f>'PCFP-All Expense AA-1 Modif-5'!J24</f>
        <v>8230070</v>
      </c>
      <c r="E42" s="288"/>
    </row>
    <row r="43" spans="1:5" hidden="1" x14ac:dyDescent="0.2">
      <c r="A43" s="3">
        <v>2500</v>
      </c>
      <c r="B43" s="3" t="s">
        <v>155</v>
      </c>
      <c r="C43" s="21">
        <f>'19_20 District Budget-5'!T97</f>
        <v>3188945</v>
      </c>
      <c r="D43" s="21">
        <f>'PCFP-All Expense AA-1 Modif-5'!J25</f>
        <v>3170631</v>
      </c>
      <c r="E43" s="288"/>
    </row>
    <row r="44" spans="1:5" hidden="1" x14ac:dyDescent="0.2">
      <c r="A44" s="3">
        <v>2600</v>
      </c>
      <c r="B44" s="3" t="s">
        <v>156</v>
      </c>
      <c r="C44" s="21">
        <f>'19_20 District Budget-5'!T98</f>
        <v>16690982</v>
      </c>
      <c r="D44" s="21">
        <f>'PCFP-All Expense AA-1 Modif-5'!J26</f>
        <v>15080243</v>
      </c>
      <c r="E44" s="288"/>
    </row>
    <row r="45" spans="1:5" hidden="1" x14ac:dyDescent="0.2">
      <c r="A45" s="3">
        <v>2700</v>
      </c>
      <c r="B45" s="3" t="s">
        <v>157</v>
      </c>
      <c r="C45" s="21">
        <f>'19_20 District Budget-5'!T99</f>
        <v>3280041</v>
      </c>
      <c r="D45" s="21">
        <f>'PCFP-All Expense AA-1 Modif-5'!J27</f>
        <v>3260041</v>
      </c>
      <c r="E45" s="288"/>
    </row>
    <row r="46" spans="1:5" hidden="1" x14ac:dyDescent="0.2">
      <c r="A46" s="3">
        <v>2900</v>
      </c>
      <c r="B46" s="3" t="s">
        <v>158</v>
      </c>
      <c r="C46" s="21">
        <f>'19_20 District Budget-5'!T100</f>
        <v>0</v>
      </c>
      <c r="D46" s="21">
        <f>'PCFP-All Expense AA-1 Modif-5'!J28</f>
        <v>0</v>
      </c>
      <c r="E46" s="288"/>
    </row>
    <row r="47" spans="1:5" hidden="1" x14ac:dyDescent="0.2">
      <c r="A47" s="3">
        <v>3000</v>
      </c>
      <c r="B47" s="3" t="s">
        <v>159</v>
      </c>
      <c r="C47" s="21">
        <f>'19_20 District Budget-5'!T101</f>
        <v>0</v>
      </c>
      <c r="D47" s="21">
        <f>'PCFP-All Expense AA-1 Modif-5'!J29</f>
        <v>0</v>
      </c>
      <c r="E47" s="288"/>
    </row>
    <row r="48" spans="1:5" hidden="1" x14ac:dyDescent="0.2">
      <c r="A48" s="3">
        <v>3100</v>
      </c>
      <c r="B48" s="3" t="s">
        <v>160</v>
      </c>
      <c r="C48" s="21">
        <f>'19_20 District Budget-5'!T102</f>
        <v>3551678</v>
      </c>
      <c r="D48" s="21">
        <f>'PCFP-All Expense AA-1 Modif-5'!J30</f>
        <v>621496</v>
      </c>
      <c r="E48" s="288"/>
    </row>
    <row r="49" spans="1:5" hidden="1" x14ac:dyDescent="0.2">
      <c r="A49" s="3">
        <v>3200</v>
      </c>
      <c r="B49" s="3" t="s">
        <v>161</v>
      </c>
      <c r="C49" s="21">
        <f>'19_20 District Budget-5'!T103</f>
        <v>0</v>
      </c>
      <c r="D49" s="21">
        <f>'PCFP-All Expense AA-1 Modif-5'!J31</f>
        <v>0</v>
      </c>
      <c r="E49" s="288"/>
    </row>
    <row r="50" spans="1:5" hidden="1" x14ac:dyDescent="0.2">
      <c r="A50" s="3">
        <v>3300</v>
      </c>
      <c r="B50" s="3" t="s">
        <v>162</v>
      </c>
      <c r="C50" s="21">
        <f>'19_20 District Budget-5'!T104</f>
        <v>12700</v>
      </c>
      <c r="D50" s="21">
        <f>'PCFP-All Expense AA-1 Modif-5'!J32</f>
        <v>12700</v>
      </c>
      <c r="E50" s="288"/>
    </row>
    <row r="51" spans="1:5" hidden="1" x14ac:dyDescent="0.2">
      <c r="A51" s="3">
        <v>4000</v>
      </c>
      <c r="B51" s="3" t="s">
        <v>164</v>
      </c>
      <c r="C51" s="21">
        <f>'19_20 District Budget-5'!T105</f>
        <v>0</v>
      </c>
      <c r="D51" s="21">
        <f>'PCFP-All Expense AA-1 Modif-5'!J33</f>
        <v>0</v>
      </c>
      <c r="E51" s="288"/>
    </row>
    <row r="52" spans="1:5" hidden="1" x14ac:dyDescent="0.2">
      <c r="A52" s="3">
        <v>4100</v>
      </c>
      <c r="B52" s="3" t="s">
        <v>163</v>
      </c>
      <c r="C52" s="21">
        <f>'19_20 District Budget-5'!T106</f>
        <v>51000</v>
      </c>
      <c r="D52" s="21">
        <f>'PCFP-All Expense AA-1 Modif-5'!J34</f>
        <v>0</v>
      </c>
      <c r="E52" s="288"/>
    </row>
    <row r="53" spans="1:5" hidden="1" x14ac:dyDescent="0.2">
      <c r="A53" s="3">
        <v>4200</v>
      </c>
      <c r="B53" s="3" t="s">
        <v>165</v>
      </c>
      <c r="C53" s="21">
        <f>'19_20 District Budget-5'!T107</f>
        <v>255000</v>
      </c>
      <c r="D53" s="21">
        <f>'PCFP-All Expense AA-1 Modif-5'!J35</f>
        <v>0</v>
      </c>
      <c r="E53" s="288"/>
    </row>
    <row r="54" spans="1:5" hidden="1" x14ac:dyDescent="0.2">
      <c r="A54" s="3">
        <v>4300</v>
      </c>
      <c r="B54" s="3" t="s">
        <v>166</v>
      </c>
      <c r="C54" s="21">
        <f>'19_20 District Budget-5'!T108</f>
        <v>0</v>
      </c>
      <c r="D54" s="21">
        <f>'PCFP-All Expense AA-1 Modif-5'!J36</f>
        <v>0</v>
      </c>
      <c r="E54" s="288"/>
    </row>
    <row r="55" spans="1:5" hidden="1" x14ac:dyDescent="0.2">
      <c r="A55" s="3">
        <v>4400</v>
      </c>
      <c r="B55" s="3" t="s">
        <v>167</v>
      </c>
      <c r="C55" s="21">
        <f>'19_20 District Budget-5'!T109</f>
        <v>0</v>
      </c>
      <c r="D55" s="21">
        <f>'PCFP-All Expense AA-1 Modif-5'!J37</f>
        <v>0</v>
      </c>
      <c r="E55" s="288"/>
    </row>
    <row r="56" spans="1:5" hidden="1" x14ac:dyDescent="0.2">
      <c r="A56" s="3">
        <v>4500</v>
      </c>
      <c r="B56" s="3" t="s">
        <v>168</v>
      </c>
      <c r="C56" s="21">
        <f>'19_20 District Budget-5'!T110</f>
        <v>20120000</v>
      </c>
      <c r="D56" s="21">
        <f>'PCFP-All Expense AA-1 Modif-5'!J38</f>
        <v>0</v>
      </c>
      <c r="E56" s="288"/>
    </row>
    <row r="57" spans="1:5" hidden="1" x14ac:dyDescent="0.2">
      <c r="A57" s="3">
        <v>4600</v>
      </c>
      <c r="B57" s="3" t="s">
        <v>169</v>
      </c>
      <c r="C57" s="21">
        <f>'19_20 District Budget-5'!T111</f>
        <v>1138998</v>
      </c>
      <c r="D57" s="21">
        <f>'PCFP-All Expense AA-1 Modif-5'!J39</f>
        <v>0</v>
      </c>
      <c r="E57" s="288"/>
    </row>
    <row r="58" spans="1:5" hidden="1" x14ac:dyDescent="0.2">
      <c r="A58" s="3">
        <v>4700</v>
      </c>
      <c r="B58" s="3" t="s">
        <v>170</v>
      </c>
      <c r="C58" s="21">
        <f>'19_20 District Budget-5'!T112</f>
        <v>7207500</v>
      </c>
      <c r="D58" s="21">
        <f>'PCFP-All Expense AA-1 Modif-5'!J40</f>
        <v>0</v>
      </c>
      <c r="E58" s="288"/>
    </row>
    <row r="59" spans="1:5" hidden="1" x14ac:dyDescent="0.2">
      <c r="A59" s="3">
        <v>4900</v>
      </c>
      <c r="B59" s="3" t="s">
        <v>171</v>
      </c>
      <c r="C59" s="21">
        <f>'19_20 District Budget-5'!T113</f>
        <v>253000</v>
      </c>
      <c r="D59" s="21">
        <f>'PCFP-All Expense AA-1 Modif-5'!J41</f>
        <v>0</v>
      </c>
      <c r="E59" s="288"/>
    </row>
    <row r="60" spans="1:5" hidden="1" x14ac:dyDescent="0.2">
      <c r="A60" s="3">
        <v>5000</v>
      </c>
      <c r="B60" s="3" t="s">
        <v>172</v>
      </c>
      <c r="C60" s="21">
        <f>'19_20 District Budget-5'!T114</f>
        <v>0</v>
      </c>
      <c r="D60" s="21">
        <f>'PCFP-All Expense AA-1 Modif-5'!J42</f>
        <v>0</v>
      </c>
      <c r="E60" s="288"/>
    </row>
    <row r="61" spans="1:5" hidden="1" x14ac:dyDescent="0.2">
      <c r="A61" s="3">
        <v>5000</v>
      </c>
      <c r="B61" s="3" t="s">
        <v>173</v>
      </c>
      <c r="C61" s="21">
        <f>'19_20 District Budget-5'!T115</f>
        <v>607363</v>
      </c>
      <c r="D61" s="21">
        <f>'PCFP-All Expense AA-1 Modif-5'!J43</f>
        <v>607363</v>
      </c>
      <c r="E61" s="288"/>
    </row>
    <row r="62" spans="1:5" hidden="1" x14ac:dyDescent="0.2">
      <c r="A62" s="3">
        <v>6100</v>
      </c>
      <c r="B62" s="3" t="s">
        <v>174</v>
      </c>
      <c r="C62" s="21">
        <f>'19_20 District Budget-5'!T116</f>
        <v>0</v>
      </c>
      <c r="D62" s="21">
        <f>'PCFP-All Expense AA-1 Modif-5'!J44</f>
        <v>0</v>
      </c>
      <c r="E62" s="288"/>
    </row>
    <row r="63" spans="1:5" hidden="1" x14ac:dyDescent="0.2">
      <c r="A63" s="3">
        <v>6200</v>
      </c>
      <c r="B63" s="3" t="s">
        <v>175</v>
      </c>
      <c r="C63" s="21">
        <f>'19_20 District Budget-5'!T117</f>
        <v>7786484</v>
      </c>
      <c r="D63" s="21">
        <f>'PCFP-All Expense AA-1 Modif-5'!J45</f>
        <v>0</v>
      </c>
      <c r="E63" s="288"/>
    </row>
    <row r="64" spans="1:5" hidden="1" x14ac:dyDescent="0.2">
      <c r="A64" s="3">
        <v>6300</v>
      </c>
      <c r="B64" s="3" t="s">
        <v>176</v>
      </c>
      <c r="C64" s="21">
        <f>'19_20 District Budget-5'!T118</f>
        <v>50000</v>
      </c>
      <c r="D64" s="21">
        <f>'PCFP-All Expense AA-1 Modif-5'!J46</f>
        <v>0</v>
      </c>
      <c r="E64" s="288"/>
    </row>
    <row r="65" spans="1:5" hidden="1" x14ac:dyDescent="0.2">
      <c r="A65" s="3">
        <v>8000</v>
      </c>
      <c r="B65" s="3" t="s">
        <v>177</v>
      </c>
      <c r="C65" s="21">
        <f>'19_20 District Budget-5'!T119</f>
        <v>16426862</v>
      </c>
      <c r="D65" s="21">
        <f>'PCFP-All Expense AA-1 Modif-5'!J47</f>
        <v>10728852</v>
      </c>
      <c r="E65" s="288"/>
    </row>
    <row r="66" spans="1:5" hidden="1" x14ac:dyDescent="0.2">
      <c r="A66" s="3"/>
      <c r="B66" s="3" t="s">
        <v>445</v>
      </c>
      <c r="C66" s="21">
        <v>0</v>
      </c>
      <c r="D66" s="21">
        <f>'PCFP-All Expense AA-1 Modif-5'!J48</f>
        <v>0</v>
      </c>
      <c r="E66" s="288"/>
    </row>
    <row r="67" spans="1:5" hidden="1" x14ac:dyDescent="0.2">
      <c r="A67" s="3"/>
      <c r="B67" s="3" t="s">
        <v>446</v>
      </c>
      <c r="C67" s="21">
        <v>0</v>
      </c>
      <c r="D67" s="21">
        <f>'PCFP-All Expense AA-1 Modif-5'!J49</f>
        <v>900000</v>
      </c>
      <c r="E67" s="288"/>
    </row>
    <row r="68" spans="1:5" hidden="1" x14ac:dyDescent="0.2">
      <c r="A68" s="3"/>
      <c r="B68" s="3" t="s">
        <v>255</v>
      </c>
      <c r="C68" s="21">
        <v>0</v>
      </c>
      <c r="D68" s="21">
        <f>'PCFP-All Expense AA-1 Modif-5'!J50</f>
        <v>0</v>
      </c>
      <c r="E68" s="288"/>
    </row>
    <row r="69" spans="1:5" x14ac:dyDescent="0.2">
      <c r="A69" s="3"/>
      <c r="B69" s="3"/>
      <c r="C69" s="21"/>
      <c r="D69" s="21"/>
      <c r="E69" s="288"/>
    </row>
    <row r="70" spans="1:5" s="2" customFormat="1" x14ac:dyDescent="0.2">
      <c r="A70" s="33"/>
      <c r="B70" s="3" t="s">
        <v>308</v>
      </c>
      <c r="C70" s="21">
        <f>SUM(C71:C159)</f>
        <v>9060737</v>
      </c>
      <c r="D70" s="21">
        <f>SUM(D71:D159)</f>
        <v>76293291</v>
      </c>
      <c r="E70" s="288"/>
    </row>
    <row r="71" spans="1:5" hidden="1" x14ac:dyDescent="0.2">
      <c r="B71" t="s">
        <v>179</v>
      </c>
      <c r="C71" s="12">
        <f>'19_20 District Budget-5'!T122</f>
        <v>0</v>
      </c>
      <c r="D71" s="12">
        <f>'PCFP-All Expense AA-1 Modif-5'!J56</f>
        <v>0</v>
      </c>
      <c r="E71" s="288"/>
    </row>
    <row r="72" spans="1:5" hidden="1" x14ac:dyDescent="0.2">
      <c r="B72" t="s">
        <v>145</v>
      </c>
      <c r="C72" s="12">
        <f>'19_20 District Budget-5'!T123</f>
        <v>0</v>
      </c>
      <c r="D72" s="12">
        <f>'PCFP-All Expense AA-1 Modif-5'!J57</f>
        <v>124055</v>
      </c>
      <c r="E72" s="288"/>
    </row>
    <row r="73" spans="1:5" hidden="1" x14ac:dyDescent="0.2">
      <c r="B73" t="s">
        <v>180</v>
      </c>
      <c r="C73" s="12">
        <f>'19_20 District Budget-5'!T124</f>
        <v>0</v>
      </c>
      <c r="D73" s="12">
        <f>'PCFP-All Expense AA-1 Modif-5'!J58</f>
        <v>81972</v>
      </c>
      <c r="E73" s="288"/>
    </row>
    <row r="74" spans="1:5" hidden="1" x14ac:dyDescent="0.2">
      <c r="B74" t="s">
        <v>181</v>
      </c>
      <c r="C74" s="12">
        <f>'19_20 District Budget-5'!T125</f>
        <v>0</v>
      </c>
      <c r="D74" s="12">
        <f>'PCFP-All Expense AA-1 Modif-5'!J59</f>
        <v>0</v>
      </c>
      <c r="E74" s="288"/>
    </row>
    <row r="75" spans="1:5" hidden="1" x14ac:dyDescent="0.2">
      <c r="B75" t="s">
        <v>182</v>
      </c>
      <c r="C75" s="12">
        <f>'19_20 District Budget-5'!T126</f>
        <v>0</v>
      </c>
      <c r="D75" s="12">
        <f>'PCFP-All Expense AA-1 Modif-5'!J60</f>
        <v>0</v>
      </c>
      <c r="E75" s="288"/>
    </row>
    <row r="76" spans="1:5" hidden="1" x14ac:dyDescent="0.2">
      <c r="B76" t="s">
        <v>183</v>
      </c>
      <c r="C76" s="12">
        <f>'19_20 District Budget-5'!T127</f>
        <v>0</v>
      </c>
      <c r="D76" s="12">
        <f>'PCFP-All Expense AA-1 Modif-5'!J61</f>
        <v>0</v>
      </c>
      <c r="E76" s="288"/>
    </row>
    <row r="77" spans="1:5" hidden="1" x14ac:dyDescent="0.2">
      <c r="B77" t="s">
        <v>184</v>
      </c>
      <c r="C77" s="12">
        <f>'19_20 District Budget-5'!T128</f>
        <v>0</v>
      </c>
      <c r="D77" s="12">
        <f>'PCFP-All Expense AA-1 Modif-5'!J62</f>
        <v>0</v>
      </c>
      <c r="E77" s="288"/>
    </row>
    <row r="78" spans="1:5" hidden="1" x14ac:dyDescent="0.2">
      <c r="B78" t="s">
        <v>185</v>
      </c>
      <c r="C78" s="12">
        <f>'19_20 District Budget-5'!T129</f>
        <v>0</v>
      </c>
      <c r="D78" s="12">
        <f>'PCFP-All Expense AA-1 Modif-5'!J63</f>
        <v>598772</v>
      </c>
      <c r="E78" s="288"/>
    </row>
    <row r="79" spans="1:5" hidden="1" x14ac:dyDescent="0.2">
      <c r="B79" t="s">
        <v>186</v>
      </c>
      <c r="C79" s="12">
        <f>'19_20 District Budget-5'!T130</f>
        <v>0</v>
      </c>
      <c r="D79" s="12">
        <f>'PCFP-All Expense AA-1 Modif-5'!J64</f>
        <v>0</v>
      </c>
      <c r="E79" s="288"/>
    </row>
    <row r="80" spans="1:5" hidden="1" x14ac:dyDescent="0.2">
      <c r="B80" t="s">
        <v>187</v>
      </c>
      <c r="C80" s="12">
        <f>'19_20 District Budget-5'!T131</f>
        <v>0</v>
      </c>
      <c r="D80" s="12">
        <f>'PCFP-All Expense AA-1 Modif-5'!J65</f>
        <v>32819743</v>
      </c>
      <c r="E80" s="288"/>
    </row>
    <row r="81" spans="2:5" hidden="1" x14ac:dyDescent="0.2">
      <c r="B81" t="s">
        <v>188</v>
      </c>
      <c r="C81" s="12">
        <f>'19_20 District Budget-5'!T132</f>
        <v>0</v>
      </c>
      <c r="D81" s="12">
        <f>'PCFP-All Expense AA-1 Modif-5'!J66</f>
        <v>0</v>
      </c>
      <c r="E81" s="288"/>
    </row>
    <row r="82" spans="2:5" hidden="1" x14ac:dyDescent="0.2">
      <c r="B82" t="s">
        <v>189</v>
      </c>
      <c r="C82" s="12">
        <f>'19_20 District Budget-5'!T133</f>
        <v>0</v>
      </c>
      <c r="D82" s="12">
        <f>'PCFP-All Expense AA-1 Modif-5'!J67</f>
        <v>0</v>
      </c>
      <c r="E82" s="288"/>
    </row>
    <row r="83" spans="2:5" hidden="1" x14ac:dyDescent="0.2">
      <c r="B83" t="s">
        <v>190</v>
      </c>
      <c r="C83" s="12">
        <f>'19_20 District Budget-5'!T134</f>
        <v>0</v>
      </c>
      <c r="D83" s="12">
        <f>'PCFP-All Expense AA-1 Modif-5'!J68</f>
        <v>0</v>
      </c>
      <c r="E83" s="288"/>
    </row>
    <row r="84" spans="2:5" hidden="1" x14ac:dyDescent="0.2">
      <c r="B84" t="s">
        <v>191</v>
      </c>
      <c r="C84" s="12">
        <f>'19_20 District Budget-5'!T135</f>
        <v>-825351</v>
      </c>
      <c r="D84" s="12">
        <f>'PCFP-All Expense AA-1 Modif-5'!J69</f>
        <v>4294910</v>
      </c>
      <c r="E84" s="288"/>
    </row>
    <row r="85" spans="2:5" hidden="1" x14ac:dyDescent="0.2">
      <c r="B85" t="s">
        <v>192</v>
      </c>
      <c r="C85" s="12">
        <f>'19_20 District Budget-5'!T136</f>
        <v>0</v>
      </c>
      <c r="D85" s="12">
        <f>'PCFP-All Expense AA-1 Modif-5'!J70</f>
        <v>0</v>
      </c>
      <c r="E85" s="288"/>
    </row>
    <row r="86" spans="2:5" hidden="1" x14ac:dyDescent="0.2">
      <c r="B86" t="s">
        <v>193</v>
      </c>
      <c r="C86" s="12">
        <f>'19_20 District Budget-5'!T137</f>
        <v>0</v>
      </c>
      <c r="D86" s="12">
        <f>'PCFP-All Expense AA-1 Modif-5'!J71</f>
        <v>0</v>
      </c>
      <c r="E86" s="288"/>
    </row>
    <row r="87" spans="2:5" hidden="1" x14ac:dyDescent="0.2">
      <c r="B87" t="s">
        <v>194</v>
      </c>
      <c r="C87" s="12">
        <f>'19_20 District Budget-5'!T138</f>
        <v>0</v>
      </c>
      <c r="D87" s="12">
        <f>'PCFP-All Expense AA-1 Modif-5'!J72</f>
        <v>0</v>
      </c>
      <c r="E87" s="288"/>
    </row>
    <row r="88" spans="2:5" hidden="1" x14ac:dyDescent="0.2">
      <c r="B88" t="s">
        <v>195</v>
      </c>
      <c r="C88" s="12">
        <f>'19_20 District Budget-5'!T139</f>
        <v>0</v>
      </c>
      <c r="D88" s="12">
        <f>'PCFP-All Expense AA-1 Modif-5'!J73</f>
        <v>0</v>
      </c>
      <c r="E88" s="288"/>
    </row>
    <row r="89" spans="2:5" hidden="1" x14ac:dyDescent="0.2">
      <c r="B89" t="s">
        <v>196</v>
      </c>
      <c r="C89" s="12">
        <f>'19_20 District Budget-5'!T140</f>
        <v>0</v>
      </c>
      <c r="D89" s="12">
        <f>'PCFP-All Expense AA-1 Modif-5'!J74</f>
        <v>0</v>
      </c>
      <c r="E89" s="288"/>
    </row>
    <row r="90" spans="2:5" hidden="1" x14ac:dyDescent="0.2">
      <c r="B90" t="s">
        <v>197</v>
      </c>
      <c r="C90" s="12">
        <f>'19_20 District Budget-5'!T141</f>
        <v>0</v>
      </c>
      <c r="D90" s="12">
        <f>'PCFP-All Expense AA-1 Modif-5'!J75</f>
        <v>0</v>
      </c>
      <c r="E90" s="288"/>
    </row>
    <row r="91" spans="2:5" hidden="1" x14ac:dyDescent="0.2">
      <c r="B91" t="s">
        <v>198</v>
      </c>
      <c r="C91" s="12">
        <f>'19_20 District Budget-5'!T142</f>
        <v>0</v>
      </c>
      <c r="D91" s="12">
        <f>'PCFP-All Expense AA-1 Modif-5'!J76</f>
        <v>0</v>
      </c>
      <c r="E91" s="288"/>
    </row>
    <row r="92" spans="2:5" hidden="1" x14ac:dyDescent="0.2">
      <c r="B92" t="s">
        <v>199</v>
      </c>
      <c r="C92" s="12">
        <f>'19_20 District Budget-5'!T143</f>
        <v>0</v>
      </c>
      <c r="D92" s="12">
        <f>'PCFP-All Expense AA-1 Modif-5'!J77</f>
        <v>0</v>
      </c>
      <c r="E92" s="288"/>
    </row>
    <row r="93" spans="2:5" hidden="1" x14ac:dyDescent="0.2">
      <c r="B93" t="s">
        <v>200</v>
      </c>
      <c r="C93" s="12">
        <f>'19_20 District Budget-5'!T144</f>
        <v>0</v>
      </c>
      <c r="D93" s="12">
        <f>'PCFP-All Expense AA-1 Modif-5'!J78</f>
        <v>0</v>
      </c>
      <c r="E93" s="288"/>
    </row>
    <row r="94" spans="2:5" hidden="1" x14ac:dyDescent="0.2">
      <c r="B94" t="s">
        <v>201</v>
      </c>
      <c r="C94" s="12">
        <f>'19_20 District Budget-5'!T145</f>
        <v>0</v>
      </c>
      <c r="D94" s="12">
        <f>'PCFP-All Expense AA-1 Modif-5'!J79</f>
        <v>49274</v>
      </c>
      <c r="E94" s="288"/>
    </row>
    <row r="95" spans="2:5" hidden="1" x14ac:dyDescent="0.2">
      <c r="B95" t="s">
        <v>202</v>
      </c>
      <c r="C95" s="12">
        <f>'19_20 District Budget-5'!T146</f>
        <v>0</v>
      </c>
      <c r="D95" s="12">
        <f>'PCFP-All Expense AA-1 Modif-5'!J80</f>
        <v>0</v>
      </c>
      <c r="E95" s="288"/>
    </row>
    <row r="96" spans="2:5" hidden="1" x14ac:dyDescent="0.2">
      <c r="B96" t="s">
        <v>203</v>
      </c>
      <c r="C96" s="12">
        <f>'19_20 District Budget-5'!T147</f>
        <v>0</v>
      </c>
      <c r="D96" s="12">
        <f>'PCFP-All Expense AA-1 Modif-5'!J81</f>
        <v>0</v>
      </c>
      <c r="E96" s="288"/>
    </row>
    <row r="97" spans="2:5" hidden="1" x14ac:dyDescent="0.2">
      <c r="B97" t="s">
        <v>204</v>
      </c>
      <c r="C97" s="12">
        <f>'19_20 District Budget-5'!T148</f>
        <v>0</v>
      </c>
      <c r="D97" s="12">
        <f>'PCFP-All Expense AA-1 Modif-5'!J82</f>
        <v>4062299</v>
      </c>
      <c r="E97" s="288"/>
    </row>
    <row r="98" spans="2:5" hidden="1" x14ac:dyDescent="0.2">
      <c r="B98" t="s">
        <v>205</v>
      </c>
      <c r="C98" s="12">
        <f>'19_20 District Budget-5'!T149</f>
        <v>0</v>
      </c>
      <c r="D98" s="12">
        <f>'PCFP-All Expense AA-1 Modif-5'!J83</f>
        <v>0</v>
      </c>
      <c r="E98" s="288"/>
    </row>
    <row r="99" spans="2:5" hidden="1" x14ac:dyDescent="0.2">
      <c r="B99" t="s">
        <v>206</v>
      </c>
      <c r="C99" s="12">
        <f>'19_20 District Budget-5'!T150</f>
        <v>-601900</v>
      </c>
      <c r="D99" s="12">
        <f>'PCFP-All Expense AA-1 Modif-5'!J84</f>
        <v>3551678</v>
      </c>
      <c r="E99" s="288"/>
    </row>
    <row r="100" spans="2:5" hidden="1" x14ac:dyDescent="0.2">
      <c r="B100" t="s">
        <v>207</v>
      </c>
      <c r="C100" s="12">
        <f>'19_20 District Budget-5'!T151</f>
        <v>0</v>
      </c>
      <c r="D100" s="12">
        <f>'PCFP-All Expense AA-1 Modif-5'!J85</f>
        <v>0</v>
      </c>
      <c r="E100" s="288"/>
    </row>
    <row r="101" spans="2:5" hidden="1" x14ac:dyDescent="0.2">
      <c r="B101" t="s">
        <v>208</v>
      </c>
      <c r="C101" s="12">
        <f>'19_20 District Budget-5'!T152</f>
        <v>0</v>
      </c>
      <c r="D101" s="12">
        <f>'PCFP-All Expense AA-1 Modif-5'!J86</f>
        <v>8157</v>
      </c>
      <c r="E101" s="288"/>
    </row>
    <row r="102" spans="2:5" hidden="1" x14ac:dyDescent="0.2">
      <c r="B102" t="s">
        <v>209</v>
      </c>
      <c r="C102" s="12">
        <f>'19_20 District Budget-5'!T153</f>
        <v>0</v>
      </c>
      <c r="D102" s="12">
        <f>'PCFP-All Expense AA-1 Modif-5'!J87</f>
        <v>0</v>
      </c>
      <c r="E102" s="288"/>
    </row>
    <row r="103" spans="2:5" hidden="1" x14ac:dyDescent="0.2">
      <c r="B103" t="s">
        <v>210</v>
      </c>
      <c r="C103" s="12">
        <f>'19_20 District Budget-5'!T154</f>
        <v>0</v>
      </c>
      <c r="D103" s="12">
        <f>'PCFP-All Expense AA-1 Modif-5'!J88</f>
        <v>0</v>
      </c>
      <c r="E103" s="288"/>
    </row>
    <row r="104" spans="2:5" hidden="1" x14ac:dyDescent="0.2">
      <c r="B104" t="s">
        <v>211</v>
      </c>
      <c r="C104" s="12">
        <f>'19_20 District Budget-5'!T155</f>
        <v>0</v>
      </c>
      <c r="D104" s="12">
        <f>'PCFP-All Expense AA-1 Modif-5'!J89</f>
        <v>0</v>
      </c>
      <c r="E104" s="288"/>
    </row>
    <row r="105" spans="2:5" hidden="1" x14ac:dyDescent="0.2">
      <c r="B105" t="s">
        <v>212</v>
      </c>
      <c r="C105" s="12">
        <f>'19_20 District Budget-5'!T156</f>
        <v>0</v>
      </c>
      <c r="D105" s="12">
        <f>'PCFP-All Expense AA-1 Modif-5'!J90</f>
        <v>0</v>
      </c>
      <c r="E105" s="288"/>
    </row>
    <row r="106" spans="2:5" hidden="1" x14ac:dyDescent="0.2">
      <c r="B106" t="s">
        <v>213</v>
      </c>
      <c r="C106" s="12">
        <f>'19_20 District Budget-5'!T157</f>
        <v>0</v>
      </c>
      <c r="D106" s="12">
        <f>'PCFP-All Expense AA-1 Modif-5'!J91</f>
        <v>1470176</v>
      </c>
      <c r="E106" s="288"/>
    </row>
    <row r="107" spans="2:5" hidden="1" x14ac:dyDescent="0.2">
      <c r="B107" t="s">
        <v>214</v>
      </c>
      <c r="C107" s="12">
        <f>'19_20 District Budget-5'!T158</f>
        <v>0</v>
      </c>
      <c r="D107" s="12">
        <f>'PCFP-All Expense AA-1 Modif-5'!J92</f>
        <v>0</v>
      </c>
      <c r="E107" s="288"/>
    </row>
    <row r="108" spans="2:5" hidden="1" x14ac:dyDescent="0.2">
      <c r="B108" t="s">
        <v>215</v>
      </c>
      <c r="C108" s="12">
        <f>'19_20 District Budget-5'!T159</f>
        <v>0</v>
      </c>
      <c r="D108" s="12">
        <f>'PCFP-All Expense AA-1 Modif-5'!J93</f>
        <v>0</v>
      </c>
      <c r="E108" s="288"/>
    </row>
    <row r="109" spans="2:5" hidden="1" x14ac:dyDescent="0.2">
      <c r="B109" t="s">
        <v>216</v>
      </c>
      <c r="C109" s="12">
        <f>'19_20 District Budget-5'!T160</f>
        <v>0</v>
      </c>
      <c r="D109" s="12">
        <f>'PCFP-All Expense AA-1 Modif-5'!J94</f>
        <v>0</v>
      </c>
      <c r="E109" s="288"/>
    </row>
    <row r="110" spans="2:5" hidden="1" x14ac:dyDescent="0.2">
      <c r="B110" t="s">
        <v>217</v>
      </c>
      <c r="C110" s="12">
        <f>'19_20 District Budget-5'!T161</f>
        <v>0</v>
      </c>
      <c r="D110" s="12">
        <f>'PCFP-All Expense AA-1 Modif-5'!J95</f>
        <v>0</v>
      </c>
      <c r="E110" s="288"/>
    </row>
    <row r="111" spans="2:5" hidden="1" x14ac:dyDescent="0.2">
      <c r="B111" t="s">
        <v>218</v>
      </c>
      <c r="C111" s="12">
        <f>'19_20 District Budget-5'!T162</f>
        <v>0</v>
      </c>
      <c r="D111" s="12">
        <f>'PCFP-All Expense AA-1 Modif-5'!J96</f>
        <v>0</v>
      </c>
      <c r="E111" s="288"/>
    </row>
    <row r="112" spans="2:5" hidden="1" x14ac:dyDescent="0.2">
      <c r="B112" t="s">
        <v>219</v>
      </c>
      <c r="C112" s="12">
        <f>'19_20 District Budget-5'!T163</f>
        <v>0</v>
      </c>
      <c r="D112" s="12">
        <f>'PCFP-All Expense AA-1 Modif-5'!J97</f>
        <v>891600</v>
      </c>
      <c r="E112" s="288"/>
    </row>
    <row r="113" spans="1:5" hidden="1" x14ac:dyDescent="0.2">
      <c r="B113" t="s">
        <v>220</v>
      </c>
      <c r="C113" s="12">
        <f>'19_20 District Budget-5'!T164</f>
        <v>0</v>
      </c>
      <c r="D113" s="12">
        <f>'PCFP-All Expense AA-1 Modif-5'!J98</f>
        <v>0</v>
      </c>
      <c r="E113" s="288"/>
    </row>
    <row r="114" spans="1:5" hidden="1" x14ac:dyDescent="0.2">
      <c r="B114" t="s">
        <v>221</v>
      </c>
      <c r="C114" s="12">
        <f>'19_20 District Budget-5'!T165</f>
        <v>-379500</v>
      </c>
      <c r="D114" s="12">
        <f>'PCFP-All Expense AA-1 Modif-5'!J99</f>
        <v>0</v>
      </c>
      <c r="E114" s="288"/>
    </row>
    <row r="115" spans="1:5" hidden="1" x14ac:dyDescent="0.2">
      <c r="A115" s="2" t="s">
        <v>10</v>
      </c>
      <c r="B115" t="s">
        <v>142</v>
      </c>
      <c r="C115" s="12">
        <f>'19_20 District Budget-5'!T166</f>
        <v>0</v>
      </c>
      <c r="D115" s="12">
        <f>'PCFP-All Expense AA-1 Modif-5'!J100</f>
        <v>0</v>
      </c>
      <c r="E115" s="288"/>
    </row>
    <row r="116" spans="1:5" hidden="1" x14ac:dyDescent="0.2">
      <c r="A116" s="2" t="s">
        <v>10</v>
      </c>
      <c r="B116" t="s">
        <v>141</v>
      </c>
      <c r="C116" s="12">
        <f>'19_20 District Budget-5'!T167</f>
        <v>0</v>
      </c>
      <c r="D116" s="12">
        <f>'PCFP-All Expense AA-1 Modif-5'!J101</f>
        <v>0</v>
      </c>
      <c r="E116" s="288"/>
    </row>
    <row r="117" spans="1:5" hidden="1" x14ac:dyDescent="0.2">
      <c r="A117" s="2" t="s">
        <v>33</v>
      </c>
      <c r="B117" t="s">
        <v>222</v>
      </c>
      <c r="C117" s="12">
        <f>'19_20 District Budget-5'!T168</f>
        <v>0</v>
      </c>
      <c r="D117" s="12">
        <f>'PCFP-All Expense AA-1 Modif-5'!J102</f>
        <v>0</v>
      </c>
      <c r="E117" s="288"/>
    </row>
    <row r="118" spans="1:5" hidden="1" x14ac:dyDescent="0.2">
      <c r="A118" s="2" t="s">
        <v>10</v>
      </c>
      <c r="B118" t="s">
        <v>138</v>
      </c>
      <c r="C118" s="12">
        <f>'19_20 District Budget-5'!T169</f>
        <v>0</v>
      </c>
      <c r="D118" s="12">
        <f>'PCFP-All Expense AA-1 Modif-5'!J103</f>
        <v>0</v>
      </c>
      <c r="E118" s="288"/>
    </row>
    <row r="119" spans="1:5" hidden="1" x14ac:dyDescent="0.2">
      <c r="A119" s="2" t="s">
        <v>10</v>
      </c>
      <c r="B119" t="s">
        <v>136</v>
      </c>
      <c r="C119" s="12">
        <f>'19_20 District Budget-5'!T170</f>
        <v>0</v>
      </c>
      <c r="D119" s="12">
        <f>'PCFP-All Expense AA-1 Modif-5'!J104</f>
        <v>0</v>
      </c>
      <c r="E119" s="288"/>
    </row>
    <row r="120" spans="1:5" hidden="1" x14ac:dyDescent="0.2">
      <c r="B120" t="s">
        <v>223</v>
      </c>
      <c r="C120" s="12">
        <f>'19_20 District Budget-5'!T171</f>
        <v>0</v>
      </c>
      <c r="D120" s="12">
        <f>'PCFP-All Expense AA-1 Modif-5'!J105</f>
        <v>0</v>
      </c>
      <c r="E120" s="288"/>
    </row>
    <row r="121" spans="1:5" hidden="1" x14ac:dyDescent="0.2">
      <c r="B121" t="s">
        <v>224</v>
      </c>
      <c r="C121" s="12">
        <f>'19_20 District Budget-5'!T172</f>
        <v>0</v>
      </c>
      <c r="D121" s="12">
        <f>'PCFP-All Expense AA-1 Modif-5'!J106</f>
        <v>0</v>
      </c>
      <c r="E121" s="288"/>
    </row>
    <row r="122" spans="1:5" hidden="1" x14ac:dyDescent="0.2">
      <c r="B122" t="s">
        <v>225</v>
      </c>
      <c r="C122" s="12">
        <f>'19_20 District Budget-5'!T173</f>
        <v>0</v>
      </c>
      <c r="D122" s="12">
        <f>'PCFP-All Expense AA-1 Modif-5'!J107</f>
        <v>0</v>
      </c>
      <c r="E122" s="288"/>
    </row>
    <row r="123" spans="1:5" hidden="1" x14ac:dyDescent="0.2">
      <c r="B123" t="s">
        <v>226</v>
      </c>
      <c r="C123" s="12">
        <f>'19_20 District Budget-5'!T174</f>
        <v>0</v>
      </c>
      <c r="D123" s="12">
        <f>'PCFP-All Expense AA-1 Modif-5'!J108</f>
        <v>0</v>
      </c>
      <c r="E123" s="288"/>
    </row>
    <row r="124" spans="1:5" hidden="1" x14ac:dyDescent="0.2">
      <c r="B124" t="s">
        <v>227</v>
      </c>
      <c r="C124" s="12">
        <f>'19_20 District Budget-5'!T175</f>
        <v>0</v>
      </c>
      <c r="D124" s="12">
        <f>'PCFP-All Expense AA-1 Modif-5'!J109</f>
        <v>0</v>
      </c>
      <c r="E124" s="288"/>
    </row>
    <row r="125" spans="1:5" hidden="1" x14ac:dyDescent="0.2">
      <c r="B125" t="s">
        <v>228</v>
      </c>
      <c r="C125" s="12">
        <f>'19_20 District Budget-5'!T176</f>
        <v>0</v>
      </c>
      <c r="D125" s="12">
        <f>'PCFP-All Expense AA-1 Modif-5'!J110</f>
        <v>0</v>
      </c>
      <c r="E125" s="288"/>
    </row>
    <row r="126" spans="1:5" hidden="1" x14ac:dyDescent="0.2">
      <c r="B126" t="s">
        <v>229</v>
      </c>
      <c r="C126" s="12">
        <f>'19_20 District Budget-5'!T177</f>
        <v>0</v>
      </c>
      <c r="D126" s="12">
        <f>'PCFP-All Expense AA-1 Modif-5'!J111</f>
        <v>0</v>
      </c>
      <c r="E126" s="288"/>
    </row>
    <row r="127" spans="1:5" hidden="1" x14ac:dyDescent="0.2">
      <c r="B127" t="s">
        <v>230</v>
      </c>
      <c r="C127" s="12">
        <f>'19_20 District Budget-5'!T178</f>
        <v>0</v>
      </c>
      <c r="D127" s="12">
        <f>'PCFP-All Expense AA-1 Modif-5'!J112</f>
        <v>0</v>
      </c>
      <c r="E127" s="288"/>
    </row>
    <row r="128" spans="1:5" hidden="1" x14ac:dyDescent="0.2">
      <c r="B128" t="s">
        <v>231</v>
      </c>
      <c r="C128" s="12">
        <f>'19_20 District Budget-5'!T179</f>
        <v>0</v>
      </c>
      <c r="D128" s="12">
        <f>'PCFP-All Expense AA-1 Modif-5'!J113</f>
        <v>0</v>
      </c>
      <c r="E128" s="288"/>
    </row>
    <row r="129" spans="2:5" hidden="1" x14ac:dyDescent="0.2">
      <c r="B129" t="s">
        <v>232</v>
      </c>
      <c r="C129" s="12">
        <f>'19_20 District Budget-5'!T180</f>
        <v>0</v>
      </c>
      <c r="D129" s="12">
        <f>'PCFP-All Expense AA-1 Modif-5'!J114</f>
        <v>0</v>
      </c>
      <c r="E129" s="288"/>
    </row>
    <row r="130" spans="2:5" hidden="1" x14ac:dyDescent="0.2">
      <c r="B130" t="s">
        <v>233</v>
      </c>
      <c r="C130" s="12">
        <f>'19_20 District Budget-5'!T181</f>
        <v>0</v>
      </c>
      <c r="D130" s="12">
        <f>'PCFP-All Expense AA-1 Modif-5'!J115</f>
        <v>0</v>
      </c>
      <c r="E130" s="288"/>
    </row>
    <row r="131" spans="2:5" hidden="1" x14ac:dyDescent="0.2">
      <c r="B131" t="s">
        <v>234</v>
      </c>
      <c r="C131" s="12">
        <f>'19_20 District Budget-5'!T182</f>
        <v>0</v>
      </c>
      <c r="D131" s="12">
        <f>'PCFP-All Expense AA-1 Modif-5'!J116</f>
        <v>0</v>
      </c>
      <c r="E131" s="288"/>
    </row>
    <row r="132" spans="2:5" hidden="1" x14ac:dyDescent="0.2">
      <c r="B132" t="s">
        <v>9</v>
      </c>
      <c r="C132" s="12">
        <f>'19_20 District Budget-5'!T183</f>
        <v>-5391007</v>
      </c>
      <c r="D132" s="12">
        <f>'PCFP-All Expense AA-1 Modif-5'!J117</f>
        <v>10898259</v>
      </c>
      <c r="E132" s="288"/>
    </row>
    <row r="133" spans="2:5" hidden="1" x14ac:dyDescent="0.2">
      <c r="B133" s="3" t="s">
        <v>235</v>
      </c>
      <c r="C133" s="12">
        <f>'19_20 District Budget-5'!T185</f>
        <v>0</v>
      </c>
      <c r="D133" s="12">
        <f>'PCFP-All Expense AA-1 Modif-5'!J118</f>
        <v>0</v>
      </c>
      <c r="E133" s="288"/>
    </row>
    <row r="134" spans="2:5" hidden="1" x14ac:dyDescent="0.2">
      <c r="B134" t="s">
        <v>236</v>
      </c>
      <c r="C134" s="12">
        <f>'19_20 District Budget-5'!T186</f>
        <v>0</v>
      </c>
      <c r="D134" s="12">
        <f>'PCFP-All Expense AA-1 Modif-5'!J119</f>
        <v>8031057</v>
      </c>
      <c r="E134" s="288"/>
    </row>
    <row r="135" spans="2:5" hidden="1" x14ac:dyDescent="0.2">
      <c r="B135" t="s">
        <v>237</v>
      </c>
      <c r="C135" s="12">
        <f>'19_20 District Budget-5'!T187</f>
        <v>0</v>
      </c>
      <c r="D135" s="12">
        <f>'PCFP-All Expense AA-1 Modif-5'!J120</f>
        <v>0</v>
      </c>
      <c r="E135" s="288"/>
    </row>
    <row r="136" spans="2:5" hidden="1" x14ac:dyDescent="0.2">
      <c r="B136" t="s">
        <v>238</v>
      </c>
      <c r="C136" s="12">
        <f>'19_20 District Budget-5'!T188</f>
        <v>0</v>
      </c>
      <c r="D136" s="12">
        <f>'PCFP-All Expense AA-1 Modif-5'!J121</f>
        <v>0</v>
      </c>
      <c r="E136" s="288"/>
    </row>
    <row r="137" spans="2:5" hidden="1" x14ac:dyDescent="0.2">
      <c r="B137" t="s">
        <v>239</v>
      </c>
      <c r="C137" s="12">
        <f>'19_20 District Budget-5'!T189</f>
        <v>0</v>
      </c>
      <c r="D137" s="12">
        <f>'PCFP-All Expense AA-1 Modif-5'!J122</f>
        <v>0</v>
      </c>
      <c r="E137" s="288"/>
    </row>
    <row r="138" spans="2:5" hidden="1" x14ac:dyDescent="0.2">
      <c r="B138" t="s">
        <v>240</v>
      </c>
      <c r="C138" s="12">
        <f>'19_20 District Budget-5'!T190</f>
        <v>0</v>
      </c>
      <c r="D138" s="12">
        <f>'PCFP-All Expense AA-1 Modif-5'!J123</f>
        <v>0</v>
      </c>
      <c r="E138" s="288"/>
    </row>
    <row r="139" spans="2:5" hidden="1" x14ac:dyDescent="0.2">
      <c r="B139" t="s">
        <v>241</v>
      </c>
      <c r="C139" s="12">
        <f>'19_20 District Budget-5'!T191</f>
        <v>0</v>
      </c>
      <c r="D139" s="12">
        <f>'PCFP-All Expense AA-1 Modif-5'!J124</f>
        <v>0</v>
      </c>
      <c r="E139" s="288"/>
    </row>
    <row r="140" spans="2:5" hidden="1" x14ac:dyDescent="0.2">
      <c r="B140" t="s">
        <v>242</v>
      </c>
      <c r="C140" s="12">
        <f>'19_20 District Budget-5'!T192</f>
        <v>0</v>
      </c>
      <c r="D140" s="12">
        <f>'PCFP-All Expense AA-1 Modif-5'!J125</f>
        <v>0</v>
      </c>
      <c r="E140" s="288"/>
    </row>
    <row r="141" spans="2:5" hidden="1" x14ac:dyDescent="0.2">
      <c r="B141" t="s">
        <v>243</v>
      </c>
      <c r="C141" s="12">
        <f>'19_20 District Budget-5'!T193</f>
        <v>0</v>
      </c>
      <c r="D141" s="12">
        <f>'PCFP-All Expense AA-1 Modif-5'!J126</f>
        <v>0</v>
      </c>
      <c r="E141" s="288"/>
    </row>
    <row r="142" spans="2:5" hidden="1" x14ac:dyDescent="0.2">
      <c r="B142" t="s">
        <v>244</v>
      </c>
      <c r="C142" s="12">
        <f>'19_20 District Budget-5'!T194</f>
        <v>0</v>
      </c>
      <c r="D142" s="12">
        <f>'PCFP-All Expense AA-1 Modif-5'!J127</f>
        <v>0</v>
      </c>
      <c r="E142" s="288"/>
    </row>
    <row r="143" spans="2:5" hidden="1" x14ac:dyDescent="0.2">
      <c r="B143" s="2" t="s">
        <v>245</v>
      </c>
      <c r="E143" s="288"/>
    </row>
    <row r="144" spans="2:5" hidden="1" x14ac:dyDescent="0.2">
      <c r="B144" t="s">
        <v>246</v>
      </c>
      <c r="C144" s="12">
        <f>'19_20 District Budget-5'!T196</f>
        <v>0</v>
      </c>
      <c r="D144" s="12">
        <f>'PCFP-All Expense AA-1 Modif-5'!J129</f>
        <v>0</v>
      </c>
      <c r="E144" s="288"/>
    </row>
    <row r="145" spans="2:5" hidden="1" x14ac:dyDescent="0.2">
      <c r="B145" t="s">
        <v>247</v>
      </c>
      <c r="C145" s="12">
        <f>'19_20 District Budget-5'!T197</f>
        <v>0</v>
      </c>
      <c r="D145" s="12">
        <f>'PCFP-All Expense AA-1 Modif-5'!J130</f>
        <v>0</v>
      </c>
      <c r="E145" s="288"/>
    </row>
    <row r="146" spans="2:5" hidden="1" x14ac:dyDescent="0.2">
      <c r="B146" t="s">
        <v>248</v>
      </c>
      <c r="C146" s="12">
        <f>'19_20 District Budget-5'!T198</f>
        <v>0</v>
      </c>
      <c r="D146" s="12">
        <f>'PCFP-All Expense AA-1 Modif-5'!J131</f>
        <v>0</v>
      </c>
      <c r="E146" s="288"/>
    </row>
    <row r="147" spans="2:5" hidden="1" x14ac:dyDescent="0.2">
      <c r="B147" t="s">
        <v>249</v>
      </c>
      <c r="C147" s="12">
        <f>'19_20 District Budget-5'!T199</f>
        <v>0</v>
      </c>
      <c r="D147" s="12">
        <f>'PCFP-All Expense AA-1 Modif-5'!J132</f>
        <v>0</v>
      </c>
      <c r="E147" s="288"/>
    </row>
    <row r="148" spans="2:5" hidden="1" x14ac:dyDescent="0.2">
      <c r="B148" t="s">
        <v>250</v>
      </c>
      <c r="C148" s="12">
        <f>'19_20 District Budget-5'!T200</f>
        <v>0</v>
      </c>
      <c r="D148" s="12">
        <f>'PCFP-All Expense AA-1 Modif-5'!J133</f>
        <v>0</v>
      </c>
      <c r="E148" s="288"/>
    </row>
    <row r="149" spans="2:5" hidden="1" x14ac:dyDescent="0.2">
      <c r="B149" t="s">
        <v>251</v>
      </c>
      <c r="C149" s="12">
        <f>'19_20 District Budget-5'!T201</f>
        <v>0</v>
      </c>
      <c r="D149" s="12">
        <f>'PCFP-All Expense AA-1 Modif-5'!J134</f>
        <v>0</v>
      </c>
      <c r="E149" s="288"/>
    </row>
    <row r="150" spans="2:5" hidden="1" x14ac:dyDescent="0.2">
      <c r="B150" t="s">
        <v>252</v>
      </c>
      <c r="C150" s="12">
        <f>'19_20 District Budget-5'!T202</f>
        <v>0</v>
      </c>
      <c r="D150" s="12">
        <f>'PCFP-All Expense AA-1 Modif-5'!J135</f>
        <v>0</v>
      </c>
      <c r="E150" s="288"/>
    </row>
    <row r="151" spans="2:5" hidden="1" x14ac:dyDescent="0.2">
      <c r="B151" t="s">
        <v>253</v>
      </c>
      <c r="C151" s="12">
        <f>'19_20 District Budget-5'!T203</f>
        <v>0</v>
      </c>
      <c r="D151" s="12">
        <f>'PCFP-All Expense AA-1 Modif-5'!J136</f>
        <v>0</v>
      </c>
      <c r="E151" s="288"/>
    </row>
    <row r="152" spans="2:5" hidden="1" x14ac:dyDescent="0.2">
      <c r="B152" t="s">
        <v>254</v>
      </c>
      <c r="C152" s="12">
        <f>'19_20 District Budget-5'!T204</f>
        <v>0</v>
      </c>
      <c r="D152" s="12">
        <f>'PCFP-All Expense AA-1 Modif-5'!J137</f>
        <v>0</v>
      </c>
      <c r="E152" s="288"/>
    </row>
    <row r="153" spans="2:5" hidden="1" x14ac:dyDescent="0.2">
      <c r="B153" t="s">
        <v>255</v>
      </c>
      <c r="C153" s="12">
        <f>'19_20 District Budget-5'!T205</f>
        <v>0</v>
      </c>
      <c r="D153" s="12">
        <f>'PCFP-All Expense AA-1 Modif-5'!J138</f>
        <v>0</v>
      </c>
      <c r="E153" s="288"/>
    </row>
    <row r="154" spans="2:5" hidden="1" x14ac:dyDescent="0.2">
      <c r="B154" t="s">
        <v>256</v>
      </c>
      <c r="C154" s="12">
        <f>'19_20 District Budget-5'!T206</f>
        <v>13882926</v>
      </c>
      <c r="D154" s="12">
        <f>'PCFP-All Expense AA-1 Modif-5'!J139</f>
        <v>0</v>
      </c>
      <c r="E154" s="288"/>
    </row>
    <row r="155" spans="2:5" hidden="1" x14ac:dyDescent="0.2">
      <c r="B155" t="s">
        <v>257</v>
      </c>
      <c r="C155" s="12">
        <f>'19_20 District Budget-5'!T207</f>
        <v>0</v>
      </c>
      <c r="D155" s="12">
        <f>'PCFP-All Expense AA-1 Modif-5'!J140</f>
        <v>0</v>
      </c>
      <c r="E155" s="288"/>
    </row>
    <row r="156" spans="2:5" hidden="1" x14ac:dyDescent="0.2">
      <c r="B156" t="s">
        <v>258</v>
      </c>
      <c r="C156" s="12">
        <f>'19_20 District Budget-5'!T208</f>
        <v>0</v>
      </c>
      <c r="D156" s="12">
        <f>'PCFP-All Expense AA-1 Modif-5'!J141</f>
        <v>13882926</v>
      </c>
      <c r="E156" s="288"/>
    </row>
    <row r="157" spans="2:5" hidden="1" x14ac:dyDescent="0.2">
      <c r="B157" t="s">
        <v>259</v>
      </c>
      <c r="C157" s="12">
        <f>'19_20 District Budget-5'!T209</f>
        <v>457380</v>
      </c>
      <c r="D157" s="12">
        <f>'PCFP-All Expense AA-1 Modif-5'!J142</f>
        <v>678460</v>
      </c>
      <c r="E157" s="288"/>
    </row>
    <row r="158" spans="2:5" hidden="1" x14ac:dyDescent="0.2">
      <c r="B158" t="s">
        <v>260</v>
      </c>
      <c r="C158" s="12">
        <f>'19_20 District Budget-5'!T210</f>
        <v>1918189</v>
      </c>
      <c r="D158" s="12">
        <f>'PCFP-All Expense AA-1 Modif-5'!J143</f>
        <v>2047711</v>
      </c>
      <c r="E158" s="288"/>
    </row>
    <row r="159" spans="2:5" hidden="1" x14ac:dyDescent="0.2">
      <c r="B159" s="32" t="str">
        <f>'PCFP-All Expense AA-1 Modif-5'!B146</f>
        <v>Less:  Interfund Transfers</v>
      </c>
      <c r="C159" s="12">
        <v>0</v>
      </c>
      <c r="D159" s="12">
        <f>'PCFP-All Expense AA-1 Modif-5'!J146</f>
        <v>-7197758</v>
      </c>
      <c r="E159" s="12"/>
    </row>
  </sheetData>
  <pageMargins left="0.7" right="0.7" top="0.75" bottom="0.75" header="0.3" footer="0.3"/>
  <pageSetup scale="9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5599-69C0-4550-80C4-BEEB846E08F0}">
  <dimension ref="A1:W211"/>
  <sheetViews>
    <sheetView showGridLines="0" zoomScale="80" zoomScaleNormal="80" workbookViewId="0">
      <pane xSplit="2" ySplit="3" topLeftCell="C4" activePane="bottomRight" state="frozen"/>
      <selection activeCell="N22" sqref="N22"/>
      <selection pane="topRight" activeCell="N22" sqref="N22"/>
      <selection pane="bottomLeft" activeCell="N22" sqref="N22"/>
      <selection pane="bottomRight" activeCell="C75" sqref="C75:T211"/>
    </sheetView>
  </sheetViews>
  <sheetFormatPr defaultRowHeight="12.75" x14ac:dyDescent="0.2"/>
  <cols>
    <col min="1" max="1" width="5.140625" style="2" bestFit="1" customWidth="1"/>
    <col min="2" max="2" width="36.28515625" customWidth="1"/>
    <col min="3" max="3" width="17.28515625" style="12" bestFit="1" customWidth="1"/>
    <col min="4" max="4" width="13.28515625" style="12" bestFit="1" customWidth="1"/>
    <col min="5" max="5" width="16" style="12" bestFit="1" customWidth="1"/>
    <col min="6" max="6" width="17.7109375" style="12" bestFit="1" customWidth="1"/>
    <col min="7" max="8" width="14" style="12" bestFit="1" customWidth="1"/>
    <col min="9" max="9" width="17.7109375" style="12" bestFit="1" customWidth="1"/>
    <col min="10" max="10" width="14" style="12" bestFit="1" customWidth="1"/>
    <col min="11" max="11" width="15.5703125" style="12" bestFit="1" customWidth="1"/>
    <col min="12" max="12" width="17.42578125" style="12" bestFit="1" customWidth="1"/>
    <col min="13" max="13" width="11" style="12" bestFit="1" customWidth="1"/>
    <col min="14" max="14" width="18.42578125" style="12" bestFit="1" customWidth="1"/>
    <col min="15" max="15" width="14" style="12" bestFit="1" customWidth="1"/>
    <col min="16" max="16" width="15.5703125" style="12" bestFit="1" customWidth="1"/>
    <col min="17" max="17" width="14.85546875" style="12" bestFit="1" customWidth="1"/>
    <col min="18" max="18" width="18.140625" style="12" customWidth="1"/>
    <col min="19" max="19" width="17.42578125" style="12" customWidth="1"/>
    <col min="20" max="20" width="35.7109375" bestFit="1" customWidth="1"/>
    <col min="21" max="21" width="15.85546875" bestFit="1" customWidth="1"/>
    <col min="22" max="22" width="16.5703125" hidden="1" customWidth="1"/>
    <col min="23" max="23" width="39.7109375" hidden="1" customWidth="1"/>
  </cols>
  <sheetData>
    <row r="1" spans="1:23" s="8" customFormat="1" ht="18" x14ac:dyDescent="0.25">
      <c r="A1" s="6"/>
      <c r="B1" s="9" t="s">
        <v>261</v>
      </c>
      <c r="C1" s="496" t="s">
        <v>592</v>
      </c>
      <c r="D1" s="10" t="s">
        <v>119</v>
      </c>
      <c r="E1" s="332" t="s">
        <v>262</v>
      </c>
      <c r="F1" s="333">
        <v>194246093</v>
      </c>
      <c r="G1" s="10"/>
      <c r="H1" s="10"/>
      <c r="I1" s="10"/>
      <c r="J1" s="10"/>
      <c r="K1" s="10"/>
      <c r="O1" s="10"/>
      <c r="P1" s="10"/>
      <c r="Q1" s="10"/>
      <c r="R1" s="10"/>
      <c r="S1" s="10"/>
    </row>
    <row r="2" spans="1:23" x14ac:dyDescent="0.2">
      <c r="J2" s="19"/>
    </row>
    <row r="3" spans="1:23" s="15" customFormat="1" ht="25.5" x14ac:dyDescent="0.2">
      <c r="A3" s="13"/>
      <c r="B3" s="13" t="s">
        <v>120</v>
      </c>
      <c r="C3" s="14" t="s">
        <v>263</v>
      </c>
      <c r="D3" s="14" t="s">
        <v>185</v>
      </c>
      <c r="E3" s="14" t="s">
        <v>188</v>
      </c>
      <c r="F3" s="14" t="s">
        <v>201</v>
      </c>
      <c r="G3" s="14" t="s">
        <v>205</v>
      </c>
      <c r="H3" s="14" t="s">
        <v>237</v>
      </c>
      <c r="I3" s="14" t="s">
        <v>594</v>
      </c>
      <c r="J3" s="14" t="s">
        <v>191</v>
      </c>
      <c r="K3" s="14" t="s">
        <v>145</v>
      </c>
      <c r="L3" s="14" t="s">
        <v>9</v>
      </c>
      <c r="M3" s="14" t="s">
        <v>595</v>
      </c>
      <c r="N3" s="14" t="s">
        <v>596</v>
      </c>
      <c r="O3" s="14" t="s">
        <v>206</v>
      </c>
      <c r="P3" s="14" t="s">
        <v>597</v>
      </c>
      <c r="Q3" s="14" t="s">
        <v>270</v>
      </c>
      <c r="R3" s="14" t="s">
        <v>259</v>
      </c>
      <c r="S3" s="14" t="s">
        <v>272</v>
      </c>
      <c r="T3" s="13" t="s">
        <v>273</v>
      </c>
    </row>
    <row r="4" spans="1:23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3"/>
      <c r="U4" s="942"/>
      <c r="V4" s="290">
        <f>SUM(V5:V11)</f>
        <v>65008000</v>
      </c>
    </row>
    <row r="5" spans="1:23" s="291" customFormat="1" x14ac:dyDescent="0.2">
      <c r="B5" s="932" t="s">
        <v>274</v>
      </c>
      <c r="C5" s="935">
        <v>14985000</v>
      </c>
      <c r="D5" s="935">
        <v>0</v>
      </c>
      <c r="E5" s="935">
        <v>14985000</v>
      </c>
      <c r="F5" s="937">
        <v>0</v>
      </c>
      <c r="G5" s="937">
        <v>0</v>
      </c>
      <c r="H5" s="937">
        <v>0</v>
      </c>
      <c r="I5" s="937">
        <v>0</v>
      </c>
      <c r="J5" s="937">
        <v>0</v>
      </c>
      <c r="K5" s="937">
        <v>0</v>
      </c>
      <c r="L5" s="937">
        <v>0</v>
      </c>
      <c r="M5" s="937">
        <v>0</v>
      </c>
      <c r="N5" s="937">
        <v>0</v>
      </c>
      <c r="O5" s="937">
        <v>0</v>
      </c>
      <c r="P5" s="937">
        <v>0</v>
      </c>
      <c r="Q5" s="937">
        <v>0</v>
      </c>
      <c r="R5" s="937">
        <v>0</v>
      </c>
      <c r="S5" s="937">
        <v>0</v>
      </c>
      <c r="T5" s="937" t="str">
        <f t="shared" ref="T5:T26" si="0">B5</f>
        <v>Property Taxes</v>
      </c>
      <c r="U5" s="939">
        <f t="shared" ref="U5:U26" si="1">SUM(C5:S5)</f>
        <v>29970000</v>
      </c>
      <c r="V5" s="293">
        <f>U5-E5</f>
        <v>14985000</v>
      </c>
      <c r="W5" s="292" t="s">
        <v>473</v>
      </c>
    </row>
    <row r="6" spans="1:23" s="291" customFormat="1" x14ac:dyDescent="0.2">
      <c r="B6" s="932" t="s">
        <v>474</v>
      </c>
      <c r="C6" s="935">
        <v>800000</v>
      </c>
      <c r="D6" s="935">
        <v>0</v>
      </c>
      <c r="E6" s="935">
        <v>800000</v>
      </c>
      <c r="F6" s="937">
        <v>0</v>
      </c>
      <c r="G6" s="937">
        <v>0</v>
      </c>
      <c r="H6" s="937">
        <v>0</v>
      </c>
      <c r="I6" s="937">
        <v>0</v>
      </c>
      <c r="J6" s="937">
        <v>0</v>
      </c>
      <c r="K6" s="937">
        <v>0</v>
      </c>
      <c r="L6" s="937">
        <v>0</v>
      </c>
      <c r="M6" s="937">
        <v>0</v>
      </c>
      <c r="N6" s="937">
        <v>0</v>
      </c>
      <c r="O6" s="937">
        <v>0</v>
      </c>
      <c r="P6" s="937">
        <v>0</v>
      </c>
      <c r="Q6" s="937">
        <v>0</v>
      </c>
      <c r="R6" s="937">
        <v>0</v>
      </c>
      <c r="S6" s="937">
        <v>0</v>
      </c>
      <c r="T6" s="937" t="str">
        <f t="shared" si="0"/>
        <v>Net Proceeds from Mines</v>
      </c>
      <c r="U6" s="939">
        <f t="shared" si="1"/>
        <v>1600000</v>
      </c>
      <c r="V6" s="293">
        <f>U6-E6</f>
        <v>800000</v>
      </c>
      <c r="W6" s="292" t="s">
        <v>473</v>
      </c>
    </row>
    <row r="7" spans="1:23" s="37" customFormat="1" x14ac:dyDescent="0.2">
      <c r="B7" s="3" t="s">
        <v>276</v>
      </c>
      <c r="C7" s="935">
        <v>44006900</v>
      </c>
      <c r="D7" s="935">
        <v>0</v>
      </c>
      <c r="E7" s="935">
        <v>0</v>
      </c>
      <c r="F7" s="937">
        <v>0</v>
      </c>
      <c r="G7" s="937">
        <v>0</v>
      </c>
      <c r="H7" s="937">
        <v>0</v>
      </c>
      <c r="I7" s="937">
        <v>0</v>
      </c>
      <c r="J7" s="937">
        <v>0</v>
      </c>
      <c r="K7" s="937">
        <v>0</v>
      </c>
      <c r="L7" s="937">
        <v>0</v>
      </c>
      <c r="M7" s="937">
        <v>0</v>
      </c>
      <c r="N7" s="937">
        <v>0</v>
      </c>
      <c r="O7" s="937">
        <v>0</v>
      </c>
      <c r="P7" s="937">
        <v>0</v>
      </c>
      <c r="Q7" s="937">
        <v>0</v>
      </c>
      <c r="R7" s="937">
        <v>0</v>
      </c>
      <c r="S7" s="937">
        <v>0</v>
      </c>
      <c r="T7" s="937" t="str">
        <f t="shared" si="0"/>
        <v>School Support Taxes</v>
      </c>
      <c r="U7" s="939">
        <f t="shared" si="1"/>
        <v>44006900</v>
      </c>
      <c r="V7" s="38">
        <f>U7</f>
        <v>44006900</v>
      </c>
      <c r="W7" s="292" t="s">
        <v>473</v>
      </c>
    </row>
    <row r="8" spans="1:23" s="37" customFormat="1" hidden="1" x14ac:dyDescent="0.2">
      <c r="B8" s="3" t="s">
        <v>551</v>
      </c>
      <c r="C8" s="935">
        <v>0</v>
      </c>
      <c r="D8" s="935">
        <v>0</v>
      </c>
      <c r="E8" s="935">
        <v>0</v>
      </c>
      <c r="F8" s="937">
        <v>0</v>
      </c>
      <c r="G8" s="937">
        <v>0</v>
      </c>
      <c r="H8" s="937">
        <v>0</v>
      </c>
      <c r="I8" s="937">
        <v>0</v>
      </c>
      <c r="J8" s="937">
        <v>0</v>
      </c>
      <c r="K8" s="937">
        <v>0</v>
      </c>
      <c r="L8" s="937">
        <v>0</v>
      </c>
      <c r="M8" s="937">
        <v>0</v>
      </c>
      <c r="N8" s="937">
        <v>0</v>
      </c>
      <c r="O8" s="937">
        <v>0</v>
      </c>
      <c r="P8" s="937">
        <v>0</v>
      </c>
      <c r="Q8" s="937">
        <v>0</v>
      </c>
      <c r="R8" s="937">
        <v>0</v>
      </c>
      <c r="S8" s="937">
        <v>0</v>
      </c>
      <c r="T8" s="937" t="str">
        <f t="shared" si="0"/>
        <v>Real Estate Transfer Tax</v>
      </c>
      <c r="U8" s="939">
        <f t="shared" si="1"/>
        <v>0</v>
      </c>
    </row>
    <row r="9" spans="1:23" s="37" customFormat="1" hidden="1" x14ac:dyDescent="0.2">
      <c r="B9" s="3" t="s">
        <v>550</v>
      </c>
      <c r="C9" s="935">
        <v>0</v>
      </c>
      <c r="D9" s="935">
        <v>0</v>
      </c>
      <c r="E9" s="935">
        <v>0</v>
      </c>
      <c r="F9" s="937">
        <v>0</v>
      </c>
      <c r="G9" s="937">
        <v>0</v>
      </c>
      <c r="H9" s="937">
        <v>0</v>
      </c>
      <c r="I9" s="937">
        <v>0</v>
      </c>
      <c r="J9" s="937">
        <v>0</v>
      </c>
      <c r="K9" s="937">
        <v>0</v>
      </c>
      <c r="L9" s="937">
        <v>0</v>
      </c>
      <c r="M9" s="937">
        <v>0</v>
      </c>
      <c r="N9" s="937">
        <v>0</v>
      </c>
      <c r="O9" s="937">
        <v>0</v>
      </c>
      <c r="P9" s="937">
        <v>0</v>
      </c>
      <c r="Q9" s="937">
        <v>0</v>
      </c>
      <c r="R9" s="937">
        <v>0</v>
      </c>
      <c r="S9" s="937">
        <v>0</v>
      </c>
      <c r="T9" s="937" t="str">
        <f t="shared" si="0"/>
        <v>Room Tax</v>
      </c>
      <c r="U9" s="939">
        <f t="shared" si="1"/>
        <v>0</v>
      </c>
      <c r="V9" s="38">
        <f>U9</f>
        <v>0</v>
      </c>
      <c r="W9" s="37" t="s">
        <v>275</v>
      </c>
    </row>
    <row r="10" spans="1:23" s="37" customFormat="1" hidden="1" x14ac:dyDescent="0.2">
      <c r="B10" s="3" t="s">
        <v>277</v>
      </c>
      <c r="C10" s="935">
        <v>0</v>
      </c>
      <c r="D10" s="935">
        <v>0</v>
      </c>
      <c r="E10" s="935">
        <v>0</v>
      </c>
      <c r="F10" s="937">
        <v>0</v>
      </c>
      <c r="G10" s="937">
        <v>0</v>
      </c>
      <c r="H10" s="937">
        <v>0</v>
      </c>
      <c r="I10" s="937">
        <v>0</v>
      </c>
      <c r="J10" s="937">
        <v>0</v>
      </c>
      <c r="K10" s="937">
        <v>0</v>
      </c>
      <c r="L10" s="937">
        <v>0</v>
      </c>
      <c r="M10" s="937">
        <v>0</v>
      </c>
      <c r="N10" s="937">
        <v>0</v>
      </c>
      <c r="O10" s="937">
        <v>0</v>
      </c>
      <c r="P10" s="937">
        <v>0</v>
      </c>
      <c r="Q10" s="937">
        <v>0</v>
      </c>
      <c r="R10" s="937">
        <v>0</v>
      </c>
      <c r="S10" s="937">
        <v>0</v>
      </c>
      <c r="T10" s="937" t="str">
        <f t="shared" si="0"/>
        <v>Franchise Taxes</v>
      </c>
      <c r="U10" s="939">
        <f t="shared" si="1"/>
        <v>0</v>
      </c>
      <c r="V10" s="38">
        <f>U10</f>
        <v>0</v>
      </c>
      <c r="W10" s="37" t="s">
        <v>275</v>
      </c>
    </row>
    <row r="11" spans="1:23" s="37" customFormat="1" x14ac:dyDescent="0.2">
      <c r="B11" s="3" t="s">
        <v>278</v>
      </c>
      <c r="C11" s="935">
        <v>5216100</v>
      </c>
      <c r="D11" s="935">
        <v>0</v>
      </c>
      <c r="E11" s="935">
        <v>0</v>
      </c>
      <c r="F11" s="937">
        <v>0</v>
      </c>
      <c r="G11" s="937">
        <v>0</v>
      </c>
      <c r="H11" s="937">
        <v>0</v>
      </c>
      <c r="I11" s="937">
        <v>0</v>
      </c>
      <c r="J11" s="937">
        <v>0</v>
      </c>
      <c r="K11" s="937">
        <v>0</v>
      </c>
      <c r="L11" s="937">
        <v>0</v>
      </c>
      <c r="M11" s="937">
        <v>0</v>
      </c>
      <c r="N11" s="937">
        <v>0</v>
      </c>
      <c r="O11" s="937">
        <v>0</v>
      </c>
      <c r="P11" s="937">
        <v>0</v>
      </c>
      <c r="Q11" s="937">
        <v>0</v>
      </c>
      <c r="R11" s="937">
        <v>0</v>
      </c>
      <c r="S11" s="937">
        <v>0</v>
      </c>
      <c r="T11" s="937" t="str">
        <f t="shared" si="0"/>
        <v>Governmental Services Tax</v>
      </c>
      <c r="U11" s="939">
        <f t="shared" si="1"/>
        <v>5216100</v>
      </c>
      <c r="V11" s="38">
        <f>U11-E11</f>
        <v>5216100</v>
      </c>
      <c r="W11" s="37" t="s">
        <v>279</v>
      </c>
    </row>
    <row r="12" spans="1:23" s="37" customFormat="1" hidden="1" x14ac:dyDescent="0.2">
      <c r="B12" s="3" t="s">
        <v>338</v>
      </c>
      <c r="C12" s="935">
        <v>0</v>
      </c>
      <c r="D12" s="935">
        <v>0</v>
      </c>
      <c r="E12" s="935">
        <v>0</v>
      </c>
      <c r="F12" s="937">
        <v>0</v>
      </c>
      <c r="G12" s="937">
        <v>0</v>
      </c>
      <c r="H12" s="937">
        <v>0</v>
      </c>
      <c r="I12" s="937">
        <v>0</v>
      </c>
      <c r="J12" s="937">
        <v>0</v>
      </c>
      <c r="K12" s="937">
        <v>0</v>
      </c>
      <c r="L12" s="937">
        <v>0</v>
      </c>
      <c r="M12" s="937">
        <v>0</v>
      </c>
      <c r="N12" s="937">
        <v>0</v>
      </c>
      <c r="O12" s="937">
        <v>0</v>
      </c>
      <c r="P12" s="937">
        <v>0</v>
      </c>
      <c r="Q12" s="937">
        <v>0</v>
      </c>
      <c r="R12" s="937">
        <v>0</v>
      </c>
      <c r="S12" s="937">
        <v>0</v>
      </c>
      <c r="T12" s="937" t="str">
        <f t="shared" si="0"/>
        <v>Other Taxes</v>
      </c>
      <c r="U12" s="939">
        <f t="shared" si="1"/>
        <v>0</v>
      </c>
    </row>
    <row r="13" spans="1:23" s="37" customFormat="1" hidden="1" x14ac:dyDescent="0.2">
      <c r="B13" s="3" t="s">
        <v>281</v>
      </c>
      <c r="C13" s="935">
        <v>0</v>
      </c>
      <c r="D13" s="935">
        <v>0</v>
      </c>
      <c r="E13" s="935">
        <v>0</v>
      </c>
      <c r="F13" s="937">
        <v>0</v>
      </c>
      <c r="G13" s="937">
        <v>0</v>
      </c>
      <c r="H13" s="937">
        <v>0</v>
      </c>
      <c r="I13" s="937">
        <v>0</v>
      </c>
      <c r="J13" s="937">
        <v>0</v>
      </c>
      <c r="K13" s="937">
        <v>0</v>
      </c>
      <c r="L13" s="937">
        <v>0</v>
      </c>
      <c r="M13" s="937">
        <v>0</v>
      </c>
      <c r="N13" s="937">
        <v>0</v>
      </c>
      <c r="O13" s="937">
        <v>0</v>
      </c>
      <c r="P13" s="937">
        <v>0</v>
      </c>
      <c r="Q13" s="937">
        <v>0</v>
      </c>
      <c r="R13" s="937">
        <v>0</v>
      </c>
      <c r="S13" s="937">
        <v>0</v>
      </c>
      <c r="T13" s="937" t="str">
        <f t="shared" si="0"/>
        <v>Boat Registration</v>
      </c>
      <c r="U13" s="939">
        <f t="shared" si="1"/>
        <v>0</v>
      </c>
    </row>
    <row r="14" spans="1:23" s="37" customFormat="1" hidden="1" x14ac:dyDescent="0.2">
      <c r="B14" s="3" t="s">
        <v>227</v>
      </c>
      <c r="C14" s="935">
        <v>0</v>
      </c>
      <c r="D14" s="935">
        <v>0</v>
      </c>
      <c r="E14" s="935">
        <v>0</v>
      </c>
      <c r="F14" s="937">
        <v>0</v>
      </c>
      <c r="G14" s="937">
        <v>0</v>
      </c>
      <c r="H14" s="937">
        <v>0</v>
      </c>
      <c r="I14" s="937">
        <v>0</v>
      </c>
      <c r="J14" s="937">
        <v>0</v>
      </c>
      <c r="K14" s="937">
        <v>0</v>
      </c>
      <c r="L14" s="937">
        <v>0</v>
      </c>
      <c r="M14" s="937">
        <v>0</v>
      </c>
      <c r="N14" s="937">
        <v>0</v>
      </c>
      <c r="O14" s="937">
        <v>0</v>
      </c>
      <c r="P14" s="937">
        <v>0</v>
      </c>
      <c r="Q14" s="937">
        <v>0</v>
      </c>
      <c r="R14" s="937">
        <v>0</v>
      </c>
      <c r="S14" s="937">
        <v>0</v>
      </c>
      <c r="T14" s="937" t="str">
        <f t="shared" si="0"/>
        <v>Residential Construction Tax</v>
      </c>
      <c r="U14" s="939">
        <f t="shared" si="1"/>
        <v>0</v>
      </c>
    </row>
    <row r="15" spans="1:23" s="37" customFormat="1" x14ac:dyDescent="0.2">
      <c r="B15" s="3" t="s">
        <v>282</v>
      </c>
      <c r="C15" s="935">
        <v>992435</v>
      </c>
      <c r="D15" s="935">
        <v>0</v>
      </c>
      <c r="E15" s="935">
        <v>0</v>
      </c>
      <c r="F15" s="937">
        <v>0</v>
      </c>
      <c r="G15" s="937">
        <v>0</v>
      </c>
      <c r="H15" s="937">
        <v>0</v>
      </c>
      <c r="I15" s="937">
        <v>0</v>
      </c>
      <c r="J15" s="937">
        <v>0</v>
      </c>
      <c r="K15" s="937">
        <v>0</v>
      </c>
      <c r="L15" s="937">
        <v>0</v>
      </c>
      <c r="M15" s="937">
        <v>0</v>
      </c>
      <c r="N15" s="937">
        <v>0</v>
      </c>
      <c r="O15" s="937">
        <v>0</v>
      </c>
      <c r="P15" s="937">
        <v>0</v>
      </c>
      <c r="Q15" s="937">
        <v>0</v>
      </c>
      <c r="R15" s="937">
        <v>0</v>
      </c>
      <c r="S15" s="937">
        <v>0</v>
      </c>
      <c r="T15" s="937" t="str">
        <f t="shared" si="0"/>
        <v>Tuition</v>
      </c>
      <c r="U15" s="939">
        <f t="shared" si="1"/>
        <v>992435</v>
      </c>
    </row>
    <row r="16" spans="1:23" s="37" customFormat="1" hidden="1" x14ac:dyDescent="0.2">
      <c r="B16" s="3" t="s">
        <v>143</v>
      </c>
      <c r="C16" s="935">
        <v>0</v>
      </c>
      <c r="D16" s="935">
        <v>0</v>
      </c>
      <c r="E16" s="935">
        <v>0</v>
      </c>
      <c r="F16" s="937">
        <v>0</v>
      </c>
      <c r="G16" s="937">
        <v>0</v>
      </c>
      <c r="H16" s="937">
        <v>0</v>
      </c>
      <c r="I16" s="937">
        <v>0</v>
      </c>
      <c r="J16" s="937">
        <v>0</v>
      </c>
      <c r="K16" s="937">
        <v>0</v>
      </c>
      <c r="L16" s="937">
        <v>0</v>
      </c>
      <c r="M16" s="937">
        <v>0</v>
      </c>
      <c r="N16" s="937">
        <v>0</v>
      </c>
      <c r="O16" s="937">
        <v>0</v>
      </c>
      <c r="P16" s="937">
        <v>0</v>
      </c>
      <c r="Q16" s="937">
        <v>0</v>
      </c>
      <c r="R16" s="937">
        <v>0</v>
      </c>
      <c r="S16" s="937">
        <v>0</v>
      </c>
      <c r="T16" s="937" t="str">
        <f t="shared" si="0"/>
        <v>Summer School</v>
      </c>
      <c r="U16" s="939">
        <f t="shared" si="1"/>
        <v>0</v>
      </c>
    </row>
    <row r="17" spans="1:23" s="37" customFormat="1" hidden="1" x14ac:dyDescent="0.2">
      <c r="B17" s="3" t="s">
        <v>283</v>
      </c>
      <c r="C17" s="935">
        <v>0</v>
      </c>
      <c r="D17" s="935">
        <v>0</v>
      </c>
      <c r="E17" s="935">
        <v>0</v>
      </c>
      <c r="F17" s="937">
        <v>0</v>
      </c>
      <c r="G17" s="937">
        <v>0</v>
      </c>
      <c r="H17" s="937">
        <v>0</v>
      </c>
      <c r="I17" s="937">
        <v>0</v>
      </c>
      <c r="J17" s="937">
        <v>0</v>
      </c>
      <c r="K17" s="937">
        <v>0</v>
      </c>
      <c r="L17" s="937">
        <v>0</v>
      </c>
      <c r="M17" s="937">
        <v>0</v>
      </c>
      <c r="N17" s="937">
        <v>0</v>
      </c>
      <c r="O17" s="937">
        <v>0</v>
      </c>
      <c r="P17" s="937">
        <v>0</v>
      </c>
      <c r="Q17" s="937">
        <v>0</v>
      </c>
      <c r="R17" s="937">
        <v>0</v>
      </c>
      <c r="S17" s="937">
        <v>0</v>
      </c>
      <c r="T17" s="937" t="str">
        <f t="shared" si="0"/>
        <v>Transportation Fees</v>
      </c>
      <c r="U17" s="939">
        <f t="shared" si="1"/>
        <v>0</v>
      </c>
    </row>
    <row r="18" spans="1:23" s="37" customFormat="1" x14ac:dyDescent="0.2">
      <c r="B18" s="3" t="s">
        <v>284</v>
      </c>
      <c r="C18" s="935">
        <v>0</v>
      </c>
      <c r="D18" s="935">
        <v>40000</v>
      </c>
      <c r="E18" s="935">
        <v>365000</v>
      </c>
      <c r="F18" s="937">
        <v>850</v>
      </c>
      <c r="G18" s="937">
        <v>0</v>
      </c>
      <c r="H18" s="937">
        <v>0</v>
      </c>
      <c r="I18" s="937">
        <v>0</v>
      </c>
      <c r="J18" s="937">
        <v>0</v>
      </c>
      <c r="K18" s="937">
        <v>0</v>
      </c>
      <c r="L18" s="937">
        <v>0</v>
      </c>
      <c r="M18" s="937">
        <v>0</v>
      </c>
      <c r="N18" s="937">
        <v>0</v>
      </c>
      <c r="O18" s="937">
        <v>0</v>
      </c>
      <c r="P18" s="937">
        <v>0</v>
      </c>
      <c r="Q18" s="937">
        <v>0</v>
      </c>
      <c r="R18" s="937">
        <v>0</v>
      </c>
      <c r="S18" s="937">
        <v>0</v>
      </c>
      <c r="T18" s="937" t="str">
        <f t="shared" si="0"/>
        <v>Earnings on Investments</v>
      </c>
      <c r="U18" s="939">
        <f t="shared" si="1"/>
        <v>405850</v>
      </c>
    </row>
    <row r="19" spans="1:23" s="37" customFormat="1" hidden="1" x14ac:dyDescent="0.2">
      <c r="B19" s="3" t="s">
        <v>552</v>
      </c>
      <c r="C19" s="935">
        <v>0</v>
      </c>
      <c r="D19" s="935">
        <v>0</v>
      </c>
      <c r="E19" s="935">
        <v>0</v>
      </c>
      <c r="F19" s="937">
        <v>0</v>
      </c>
      <c r="G19" s="937">
        <v>0</v>
      </c>
      <c r="H19" s="937">
        <v>0</v>
      </c>
      <c r="I19" s="937">
        <v>0</v>
      </c>
      <c r="J19" s="937">
        <v>0</v>
      </c>
      <c r="K19" s="937">
        <v>0</v>
      </c>
      <c r="L19" s="937">
        <v>0</v>
      </c>
      <c r="M19" s="937">
        <v>0</v>
      </c>
      <c r="N19" s="937">
        <v>0</v>
      </c>
      <c r="O19" s="937">
        <v>0</v>
      </c>
      <c r="P19" s="937">
        <v>0</v>
      </c>
      <c r="Q19" s="937">
        <v>0</v>
      </c>
      <c r="R19" s="937">
        <v>0</v>
      </c>
      <c r="S19" s="937">
        <v>0</v>
      </c>
      <c r="T19" s="937" t="str">
        <f t="shared" si="0"/>
        <v>Direct District Activities Revenue</v>
      </c>
      <c r="U19" s="939">
        <f t="shared" si="1"/>
        <v>0</v>
      </c>
    </row>
    <row r="20" spans="1:23" s="37" customFormat="1" x14ac:dyDescent="0.2">
      <c r="B20" s="3" t="s">
        <v>286</v>
      </c>
      <c r="C20" s="935">
        <v>0</v>
      </c>
      <c r="D20" s="935">
        <v>0</v>
      </c>
      <c r="E20" s="935">
        <v>0</v>
      </c>
      <c r="F20" s="937">
        <v>0</v>
      </c>
      <c r="G20" s="937">
        <v>0</v>
      </c>
      <c r="H20" s="937">
        <v>0</v>
      </c>
      <c r="I20" s="937">
        <v>0</v>
      </c>
      <c r="J20" s="937">
        <v>0</v>
      </c>
      <c r="K20" s="937">
        <v>0</v>
      </c>
      <c r="L20" s="937">
        <v>0</v>
      </c>
      <c r="M20" s="937">
        <v>0</v>
      </c>
      <c r="N20" s="937">
        <v>0</v>
      </c>
      <c r="O20" s="937">
        <v>968311</v>
      </c>
      <c r="P20" s="937">
        <v>0</v>
      </c>
      <c r="Q20" s="937">
        <v>0</v>
      </c>
      <c r="R20" s="937">
        <v>0</v>
      </c>
      <c r="S20" s="937">
        <v>0</v>
      </c>
      <c r="T20" s="937" t="str">
        <f t="shared" si="0"/>
        <v>Daily Sales - Food Services</v>
      </c>
      <c r="U20" s="939">
        <f t="shared" si="1"/>
        <v>968311</v>
      </c>
    </row>
    <row r="21" spans="1:23" s="37" customFormat="1" x14ac:dyDescent="0.2">
      <c r="A21" s="37">
        <v>1900</v>
      </c>
      <c r="B21" s="3" t="s">
        <v>280</v>
      </c>
      <c r="C21" s="935">
        <v>0</v>
      </c>
      <c r="D21" s="935">
        <v>0</v>
      </c>
      <c r="E21" s="935">
        <v>0</v>
      </c>
      <c r="F21" s="937">
        <v>0</v>
      </c>
      <c r="G21" s="937">
        <v>0</v>
      </c>
      <c r="H21" s="937">
        <v>0</v>
      </c>
      <c r="I21" s="937">
        <v>0</v>
      </c>
      <c r="J21" s="937">
        <v>0</v>
      </c>
      <c r="K21" s="937">
        <v>0</v>
      </c>
      <c r="L21" s="937">
        <v>0</v>
      </c>
      <c r="M21" s="937">
        <v>0</v>
      </c>
      <c r="N21" s="937">
        <v>89793</v>
      </c>
      <c r="O21" s="937">
        <v>0</v>
      </c>
      <c r="P21" s="937">
        <v>13550000</v>
      </c>
      <c r="Q21" s="937">
        <v>510000</v>
      </c>
      <c r="R21" s="937">
        <v>160000</v>
      </c>
      <c r="S21" s="937">
        <v>0</v>
      </c>
      <c r="T21" s="937" t="str">
        <f t="shared" si="0"/>
        <v>Other Revenues</v>
      </c>
      <c r="U21" s="939">
        <f t="shared" si="1"/>
        <v>14309793</v>
      </c>
    </row>
    <row r="22" spans="1:23" s="37" customFormat="1" x14ac:dyDescent="0.2">
      <c r="B22" s="3" t="s">
        <v>287</v>
      </c>
      <c r="C22" s="935">
        <v>0</v>
      </c>
      <c r="D22" s="935">
        <v>25000</v>
      </c>
      <c r="E22" s="935">
        <v>0</v>
      </c>
      <c r="F22" s="937">
        <v>0</v>
      </c>
      <c r="G22" s="937">
        <v>0</v>
      </c>
      <c r="H22" s="937">
        <v>0</v>
      </c>
      <c r="I22" s="937">
        <v>0</v>
      </c>
      <c r="J22" s="937">
        <v>0</v>
      </c>
      <c r="K22" s="937">
        <v>0</v>
      </c>
      <c r="L22" s="937">
        <v>0</v>
      </c>
      <c r="M22" s="937">
        <v>0</v>
      </c>
      <c r="N22" s="937">
        <v>0</v>
      </c>
      <c r="O22" s="937">
        <v>0</v>
      </c>
      <c r="P22" s="937">
        <v>0</v>
      </c>
      <c r="Q22" s="937">
        <v>0</v>
      </c>
      <c r="R22" s="937">
        <v>0</v>
      </c>
      <c r="S22" s="937">
        <v>0</v>
      </c>
      <c r="T22" s="937" t="str">
        <f t="shared" si="0"/>
        <v>Rentals</v>
      </c>
      <c r="U22" s="939">
        <f t="shared" si="1"/>
        <v>25000</v>
      </c>
    </row>
    <row r="23" spans="1:23" s="37" customFormat="1" x14ac:dyDescent="0.2">
      <c r="B23" s="3" t="s">
        <v>288</v>
      </c>
      <c r="C23" s="935">
        <v>4850</v>
      </c>
      <c r="D23" s="935">
        <v>0</v>
      </c>
      <c r="E23" s="935">
        <v>0</v>
      </c>
      <c r="F23" s="937">
        <v>0</v>
      </c>
      <c r="G23" s="937">
        <v>0</v>
      </c>
      <c r="H23" s="937">
        <v>0</v>
      </c>
      <c r="I23" s="937">
        <v>0</v>
      </c>
      <c r="J23" s="937">
        <v>0</v>
      </c>
      <c r="K23" s="937">
        <v>0</v>
      </c>
      <c r="L23" s="937">
        <v>0</v>
      </c>
      <c r="M23" s="937">
        <v>1500</v>
      </c>
      <c r="N23" s="937">
        <v>41000</v>
      </c>
      <c r="O23" s="937">
        <v>0</v>
      </c>
      <c r="P23" s="937">
        <v>0</v>
      </c>
      <c r="Q23" s="937">
        <v>0</v>
      </c>
      <c r="R23" s="937">
        <v>0</v>
      </c>
      <c r="S23" s="937">
        <v>0</v>
      </c>
      <c r="T23" s="937" t="str">
        <f t="shared" si="0"/>
        <v>Donations</v>
      </c>
      <c r="U23" s="939">
        <f t="shared" si="1"/>
        <v>47350</v>
      </c>
    </row>
    <row r="24" spans="1:23" s="37" customFormat="1" x14ac:dyDescent="0.2">
      <c r="B24" s="3" t="s">
        <v>598</v>
      </c>
      <c r="C24" s="935">
        <v>0</v>
      </c>
      <c r="D24" s="935">
        <v>0</v>
      </c>
      <c r="E24" s="935">
        <v>0</v>
      </c>
      <c r="F24" s="937">
        <v>0</v>
      </c>
      <c r="G24" s="937">
        <v>0</v>
      </c>
      <c r="H24" s="937">
        <v>0</v>
      </c>
      <c r="I24" s="937">
        <v>0</v>
      </c>
      <c r="J24" s="937">
        <v>0</v>
      </c>
      <c r="K24" s="937">
        <v>0</v>
      </c>
      <c r="L24" s="937">
        <v>0</v>
      </c>
      <c r="M24" s="937">
        <v>0</v>
      </c>
      <c r="N24" s="937">
        <v>72000</v>
      </c>
      <c r="O24" s="937">
        <v>0</v>
      </c>
      <c r="P24" s="937">
        <v>0</v>
      </c>
      <c r="Q24" s="937">
        <v>0</v>
      </c>
      <c r="R24" s="937">
        <v>0</v>
      </c>
      <c r="S24" s="937">
        <v>0</v>
      </c>
      <c r="T24" s="937" t="str">
        <f t="shared" si="0"/>
        <v>Services Provided Other Govts</v>
      </c>
      <c r="U24" s="939">
        <f t="shared" si="1"/>
        <v>72000</v>
      </c>
    </row>
    <row r="25" spans="1:23" s="37" customFormat="1" x14ac:dyDescent="0.2">
      <c r="B25" s="3" t="s">
        <v>289</v>
      </c>
      <c r="C25" s="935">
        <v>374788</v>
      </c>
      <c r="D25" s="935">
        <v>900</v>
      </c>
      <c r="E25" s="935">
        <v>22805</v>
      </c>
      <c r="F25" s="937">
        <v>0</v>
      </c>
      <c r="G25" s="937">
        <v>0</v>
      </c>
      <c r="H25" s="937">
        <v>0</v>
      </c>
      <c r="I25" s="937">
        <v>0</v>
      </c>
      <c r="J25" s="937">
        <v>0</v>
      </c>
      <c r="K25" s="937">
        <v>0</v>
      </c>
      <c r="L25" s="937">
        <v>0</v>
      </c>
      <c r="M25" s="937">
        <v>0</v>
      </c>
      <c r="N25" s="937">
        <v>0</v>
      </c>
      <c r="O25" s="937">
        <v>0</v>
      </c>
      <c r="P25" s="937">
        <v>0</v>
      </c>
      <c r="Q25" s="937">
        <v>0</v>
      </c>
      <c r="R25" s="937">
        <v>0</v>
      </c>
      <c r="S25" s="937">
        <v>0</v>
      </c>
      <c r="T25" s="937" t="str">
        <f t="shared" si="0"/>
        <v>Miscellaneous</v>
      </c>
      <c r="U25" s="939">
        <f t="shared" si="1"/>
        <v>398493</v>
      </c>
    </row>
    <row r="26" spans="1:23" s="37" customFormat="1" x14ac:dyDescent="0.2">
      <c r="B26" s="3" t="s">
        <v>290</v>
      </c>
      <c r="C26" s="935">
        <v>0</v>
      </c>
      <c r="D26" s="935">
        <v>0</v>
      </c>
      <c r="E26" s="935">
        <v>0</v>
      </c>
      <c r="F26" s="937">
        <v>0</v>
      </c>
      <c r="G26" s="937">
        <v>0</v>
      </c>
      <c r="H26" s="937">
        <v>0</v>
      </c>
      <c r="I26" s="937">
        <v>0</v>
      </c>
      <c r="J26" s="937">
        <v>0</v>
      </c>
      <c r="K26" s="937">
        <v>0</v>
      </c>
      <c r="L26" s="937">
        <v>0</v>
      </c>
      <c r="M26" s="937">
        <v>0</v>
      </c>
      <c r="N26" s="937">
        <v>55000</v>
      </c>
      <c r="O26" s="937">
        <v>0</v>
      </c>
      <c r="P26" s="937">
        <v>0</v>
      </c>
      <c r="Q26" s="937">
        <v>0</v>
      </c>
      <c r="R26" s="937">
        <v>0</v>
      </c>
      <c r="S26" s="937">
        <v>0</v>
      </c>
      <c r="T26" s="937" t="str">
        <f t="shared" si="0"/>
        <v>Indirect Costs</v>
      </c>
      <c r="U26" s="939">
        <f t="shared" si="1"/>
        <v>55000</v>
      </c>
    </row>
    <row r="27" spans="1:23" x14ac:dyDescent="0.2">
      <c r="B27" s="3"/>
      <c r="C27" s="935"/>
      <c r="D27" s="935"/>
      <c r="E27" s="935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8"/>
      <c r="U27" s="905"/>
    </row>
    <row r="28" spans="1:23" s="2" customFormat="1" x14ac:dyDescent="0.2">
      <c r="B28" s="39" t="s">
        <v>124</v>
      </c>
      <c r="C28" s="931">
        <f>SUM(C4:C27)</f>
        <v>66380073</v>
      </c>
      <c r="D28" s="931">
        <f t="shared" ref="D28:S28" si="2">SUM(D4:D27)</f>
        <v>65900</v>
      </c>
      <c r="E28" s="931">
        <f t="shared" si="2"/>
        <v>16172805</v>
      </c>
      <c r="F28" s="917">
        <f t="shared" si="2"/>
        <v>850</v>
      </c>
      <c r="G28" s="917">
        <f t="shared" si="2"/>
        <v>0</v>
      </c>
      <c r="H28" s="917">
        <f t="shared" si="2"/>
        <v>0</v>
      </c>
      <c r="I28" s="917">
        <f t="shared" si="2"/>
        <v>0</v>
      </c>
      <c r="J28" s="917">
        <f t="shared" si="2"/>
        <v>0</v>
      </c>
      <c r="K28" s="917">
        <f t="shared" si="2"/>
        <v>0</v>
      </c>
      <c r="L28" s="917">
        <f t="shared" si="2"/>
        <v>0</v>
      </c>
      <c r="M28" s="917">
        <f t="shared" si="2"/>
        <v>1500</v>
      </c>
      <c r="N28" s="917">
        <f t="shared" si="2"/>
        <v>257793</v>
      </c>
      <c r="O28" s="917">
        <f t="shared" si="2"/>
        <v>968311</v>
      </c>
      <c r="P28" s="917">
        <f t="shared" si="2"/>
        <v>13550000</v>
      </c>
      <c r="Q28" s="917">
        <f t="shared" si="2"/>
        <v>510000</v>
      </c>
      <c r="R28" s="917">
        <f t="shared" si="2"/>
        <v>160000</v>
      </c>
      <c r="S28" s="917">
        <f t="shared" si="2"/>
        <v>0</v>
      </c>
      <c r="T28" s="918">
        <f>SUM(C28:S28)</f>
        <v>98067232</v>
      </c>
      <c r="U28" s="903"/>
      <c r="V28" s="20">
        <f>SUM(V5:V27)</f>
        <v>65008000</v>
      </c>
      <c r="W28" s="20">
        <f>T28-V28</f>
        <v>33059232</v>
      </c>
    </row>
    <row r="29" spans="1:23" x14ac:dyDescent="0.2">
      <c r="B29" s="550"/>
      <c r="C29" s="935"/>
      <c r="D29" s="935"/>
      <c r="E29" s="935"/>
      <c r="F29" s="937"/>
      <c r="G29" s="937"/>
      <c r="H29" s="937"/>
      <c r="I29" s="937"/>
      <c r="J29" s="937"/>
      <c r="K29" s="937"/>
      <c r="L29" s="937"/>
      <c r="M29" s="937"/>
      <c r="N29" s="937"/>
      <c r="O29" s="937"/>
      <c r="P29" s="937"/>
      <c r="Q29" s="937"/>
      <c r="R29" s="937"/>
      <c r="S29" s="937"/>
      <c r="T29" s="938"/>
      <c r="U29" s="905"/>
    </row>
    <row r="30" spans="1:23" x14ac:dyDescent="0.2">
      <c r="B30" s="3" t="s">
        <v>291</v>
      </c>
      <c r="C30" s="937">
        <v>34641433</v>
      </c>
      <c r="D30" s="937">
        <v>0</v>
      </c>
      <c r="E30" s="937">
        <v>0</v>
      </c>
      <c r="F30" s="937">
        <v>0</v>
      </c>
      <c r="G30" s="937">
        <v>0</v>
      </c>
      <c r="H30" s="937">
        <v>0</v>
      </c>
      <c r="I30" s="937">
        <v>0</v>
      </c>
      <c r="J30" s="937">
        <v>0</v>
      </c>
      <c r="K30" s="937">
        <v>206027</v>
      </c>
      <c r="L30" s="937">
        <v>4757747</v>
      </c>
      <c r="M30" s="937">
        <v>0</v>
      </c>
      <c r="N30" s="937">
        <v>0</v>
      </c>
      <c r="O30" s="937">
        <v>0</v>
      </c>
      <c r="P30" s="937">
        <v>0</v>
      </c>
      <c r="Q30" s="937">
        <v>0</v>
      </c>
      <c r="R30" s="937">
        <v>0</v>
      </c>
      <c r="S30" s="937">
        <v>0</v>
      </c>
      <c r="T30" s="938" t="str">
        <f t="shared" ref="T30:T39" si="3">B30</f>
        <v>Distributive School Fund (DSA)</v>
      </c>
      <c r="U30" s="938">
        <f t="shared" ref="U30:U39" si="4">SUM(C30:S30)</f>
        <v>39605207</v>
      </c>
      <c r="V30" s="17"/>
    </row>
    <row r="31" spans="1:23" hidden="1" x14ac:dyDescent="0.2">
      <c r="B31" s="3" t="s">
        <v>292</v>
      </c>
      <c r="C31" s="937">
        <v>0</v>
      </c>
      <c r="D31" s="937">
        <v>0</v>
      </c>
      <c r="E31" s="937">
        <v>0</v>
      </c>
      <c r="F31" s="937">
        <v>0</v>
      </c>
      <c r="G31" s="937">
        <v>0</v>
      </c>
      <c r="H31" s="937">
        <v>0</v>
      </c>
      <c r="I31" s="937">
        <v>0</v>
      </c>
      <c r="J31" s="937">
        <v>0</v>
      </c>
      <c r="K31" s="937">
        <v>0</v>
      </c>
      <c r="L31" s="937">
        <v>0</v>
      </c>
      <c r="M31" s="937">
        <v>0</v>
      </c>
      <c r="N31" s="937">
        <v>0</v>
      </c>
      <c r="O31" s="937">
        <v>0</v>
      </c>
      <c r="P31" s="937">
        <v>0</v>
      </c>
      <c r="Q31" s="937">
        <v>0</v>
      </c>
      <c r="R31" s="937">
        <v>0</v>
      </c>
      <c r="S31" s="937">
        <v>0</v>
      </c>
      <c r="T31" s="938" t="str">
        <f t="shared" si="3"/>
        <v>DSA Charter Reduction-Outside Revs</v>
      </c>
      <c r="U31" s="938">
        <f t="shared" si="4"/>
        <v>0</v>
      </c>
    </row>
    <row r="32" spans="1:23" hidden="1" x14ac:dyDescent="0.2">
      <c r="B32" s="3" t="s">
        <v>293</v>
      </c>
      <c r="C32" s="937">
        <v>0</v>
      </c>
      <c r="D32" s="937">
        <v>0</v>
      </c>
      <c r="E32" s="937">
        <v>0</v>
      </c>
      <c r="F32" s="937">
        <v>0</v>
      </c>
      <c r="G32" s="937">
        <v>0</v>
      </c>
      <c r="H32" s="937">
        <v>0</v>
      </c>
      <c r="I32" s="937">
        <v>0</v>
      </c>
      <c r="J32" s="937">
        <v>0</v>
      </c>
      <c r="K32" s="937">
        <v>0</v>
      </c>
      <c r="L32" s="937">
        <v>0</v>
      </c>
      <c r="M32" s="937">
        <v>0</v>
      </c>
      <c r="N32" s="937">
        <v>0</v>
      </c>
      <c r="O32" s="937">
        <v>0</v>
      </c>
      <c r="P32" s="937">
        <v>0</v>
      </c>
      <c r="Q32" s="937">
        <v>0</v>
      </c>
      <c r="R32" s="937">
        <v>0</v>
      </c>
      <c r="S32" s="937">
        <v>0</v>
      </c>
      <c r="T32" s="938" t="str">
        <f t="shared" si="3"/>
        <v>Special Education - DSA Funding</v>
      </c>
      <c r="U32" s="938">
        <f t="shared" si="4"/>
        <v>0</v>
      </c>
    </row>
    <row r="33" spans="1:21" hidden="1" x14ac:dyDescent="0.2">
      <c r="B33" s="3" t="s">
        <v>475</v>
      </c>
      <c r="C33" s="937">
        <v>0</v>
      </c>
      <c r="D33" s="937">
        <v>0</v>
      </c>
      <c r="E33" s="937">
        <v>0</v>
      </c>
      <c r="F33" s="937">
        <v>0</v>
      </c>
      <c r="G33" s="937">
        <v>0</v>
      </c>
      <c r="H33" s="937">
        <v>0</v>
      </c>
      <c r="I33" s="937">
        <v>0</v>
      </c>
      <c r="J33" s="937">
        <v>0</v>
      </c>
      <c r="K33" s="937">
        <v>0</v>
      </c>
      <c r="L33" s="937">
        <v>0</v>
      </c>
      <c r="M33" s="937">
        <v>0</v>
      </c>
      <c r="N33" s="937">
        <v>0</v>
      </c>
      <c r="O33" s="937">
        <v>0</v>
      </c>
      <c r="P33" s="937">
        <v>0</v>
      </c>
      <c r="Q33" s="937">
        <v>0</v>
      </c>
      <c r="R33" s="937">
        <v>0</v>
      </c>
      <c r="S33" s="937">
        <v>0</v>
      </c>
      <c r="T33" s="938" t="str">
        <f t="shared" si="3"/>
        <v>Counseling - DSA Funding</v>
      </c>
      <c r="U33" s="938">
        <f t="shared" si="4"/>
        <v>0</v>
      </c>
    </row>
    <row r="34" spans="1:21" hidden="1" x14ac:dyDescent="0.2">
      <c r="B34" s="3" t="s">
        <v>294</v>
      </c>
      <c r="C34" s="937">
        <v>0</v>
      </c>
      <c r="D34" s="937">
        <v>0</v>
      </c>
      <c r="E34" s="937">
        <v>0</v>
      </c>
      <c r="F34" s="937">
        <v>0</v>
      </c>
      <c r="G34" s="937">
        <v>0</v>
      </c>
      <c r="H34" s="937">
        <v>0</v>
      </c>
      <c r="I34" s="937">
        <v>0</v>
      </c>
      <c r="J34" s="937">
        <v>0</v>
      </c>
      <c r="K34" s="937">
        <v>0</v>
      </c>
      <c r="L34" s="937">
        <v>0</v>
      </c>
      <c r="M34" s="937">
        <v>0</v>
      </c>
      <c r="N34" s="937">
        <v>0</v>
      </c>
      <c r="O34" s="937">
        <v>0</v>
      </c>
      <c r="P34" s="937">
        <v>0</v>
      </c>
      <c r="Q34" s="937">
        <v>0</v>
      </c>
      <c r="R34" s="937">
        <v>0</v>
      </c>
      <c r="S34" s="937">
        <v>0</v>
      </c>
      <c r="T34" s="938" t="str">
        <f t="shared" si="3"/>
        <v>State Food Aid</v>
      </c>
      <c r="U34" s="938">
        <f t="shared" si="4"/>
        <v>0</v>
      </c>
    </row>
    <row r="35" spans="1:21" x14ac:dyDescent="0.2">
      <c r="B35" s="3" t="s">
        <v>295</v>
      </c>
      <c r="C35" s="937">
        <v>0</v>
      </c>
      <c r="D35" s="937">
        <v>0</v>
      </c>
      <c r="E35" s="937">
        <v>0</v>
      </c>
      <c r="F35" s="937">
        <v>0</v>
      </c>
      <c r="G35" s="937">
        <v>0</v>
      </c>
      <c r="H35" s="937">
        <v>8031057</v>
      </c>
      <c r="I35" s="937">
        <v>891600</v>
      </c>
      <c r="J35" s="937">
        <v>0</v>
      </c>
      <c r="K35" s="937">
        <v>0</v>
      </c>
      <c r="L35" s="937">
        <v>0</v>
      </c>
      <c r="M35" s="937">
        <v>0</v>
      </c>
      <c r="N35" s="937">
        <v>0</v>
      </c>
      <c r="O35" s="937">
        <f>1743802-1579873</f>
        <v>163929</v>
      </c>
      <c r="P35" s="937">
        <v>0</v>
      </c>
      <c r="Q35" s="937">
        <v>0</v>
      </c>
      <c r="R35" s="937">
        <v>0</v>
      </c>
      <c r="S35" s="937">
        <v>0</v>
      </c>
      <c r="T35" s="938" t="str">
        <f t="shared" si="3"/>
        <v>Restricted Funding/Grants-in-aid rev</v>
      </c>
      <c r="U35" s="938">
        <f t="shared" si="4"/>
        <v>9086586</v>
      </c>
    </row>
    <row r="36" spans="1:21" hidden="1" x14ac:dyDescent="0.2">
      <c r="B36" s="3" t="s">
        <v>296</v>
      </c>
      <c r="C36" s="937">
        <v>0</v>
      </c>
      <c r="D36" s="937">
        <v>0</v>
      </c>
      <c r="E36" s="937">
        <v>0</v>
      </c>
      <c r="F36" s="937">
        <v>0</v>
      </c>
      <c r="G36" s="937">
        <v>0</v>
      </c>
      <c r="H36" s="937">
        <v>0</v>
      </c>
      <c r="I36" s="937">
        <v>0</v>
      </c>
      <c r="J36" s="937">
        <v>0</v>
      </c>
      <c r="K36" s="937">
        <v>0</v>
      </c>
      <c r="L36" s="937">
        <v>0</v>
      </c>
      <c r="M36" s="937">
        <v>0</v>
      </c>
      <c r="N36" s="937">
        <v>0</v>
      </c>
      <c r="O36" s="937">
        <v>0</v>
      </c>
      <c r="P36" s="937">
        <v>0</v>
      </c>
      <c r="Q36" s="937">
        <v>0</v>
      </c>
      <c r="R36" s="937">
        <v>0</v>
      </c>
      <c r="S36" s="937">
        <v>0</v>
      </c>
      <c r="T36" s="938" t="str">
        <f t="shared" si="3"/>
        <v>Audult High School Diploma</v>
      </c>
      <c r="U36" s="938">
        <f t="shared" si="4"/>
        <v>0</v>
      </c>
    </row>
    <row r="37" spans="1:21" hidden="1" x14ac:dyDescent="0.2">
      <c r="B37" s="3" t="s">
        <v>553</v>
      </c>
      <c r="C37" s="937">
        <v>0</v>
      </c>
      <c r="D37" s="937">
        <v>0</v>
      </c>
      <c r="E37" s="937">
        <v>0</v>
      </c>
      <c r="F37" s="937">
        <v>0</v>
      </c>
      <c r="G37" s="937">
        <v>0</v>
      </c>
      <c r="H37" s="937">
        <v>0</v>
      </c>
      <c r="I37" s="937">
        <v>0</v>
      </c>
      <c r="J37" s="937">
        <v>0</v>
      </c>
      <c r="K37" s="937">
        <v>0</v>
      </c>
      <c r="L37" s="937">
        <v>0</v>
      </c>
      <c r="M37" s="937">
        <v>0</v>
      </c>
      <c r="N37" s="937">
        <v>0</v>
      </c>
      <c r="O37" s="937">
        <v>0</v>
      </c>
      <c r="P37" s="937">
        <v>0</v>
      </c>
      <c r="Q37" s="937">
        <v>0</v>
      </c>
      <c r="R37" s="937">
        <v>0</v>
      </c>
      <c r="S37" s="937">
        <v>0</v>
      </c>
      <c r="T37" s="938" t="str">
        <f t="shared" si="3"/>
        <v>SB 178 NV Education Fund Plan</v>
      </c>
      <c r="U37" s="938">
        <f t="shared" si="4"/>
        <v>0</v>
      </c>
    </row>
    <row r="38" spans="1:21" x14ac:dyDescent="0.2">
      <c r="B38" s="3" t="s">
        <v>191</v>
      </c>
      <c r="C38" s="937">
        <v>0</v>
      </c>
      <c r="D38" s="937">
        <v>0</v>
      </c>
      <c r="E38" s="937">
        <v>0</v>
      </c>
      <c r="F38" s="937">
        <v>0</v>
      </c>
      <c r="G38" s="937">
        <v>0</v>
      </c>
      <c r="H38" s="937">
        <v>0</v>
      </c>
      <c r="I38" s="937">
        <v>0</v>
      </c>
      <c r="J38" s="937">
        <v>3506886</v>
      </c>
      <c r="K38" s="937">
        <v>0</v>
      </c>
      <c r="L38" s="937">
        <v>0</v>
      </c>
      <c r="M38" s="937">
        <v>0</v>
      </c>
      <c r="N38" s="937">
        <v>0</v>
      </c>
      <c r="O38" s="937">
        <v>0</v>
      </c>
      <c r="P38" s="937">
        <v>0</v>
      </c>
      <c r="Q38" s="937">
        <v>0</v>
      </c>
      <c r="R38" s="937">
        <v>0</v>
      </c>
      <c r="S38" s="937">
        <v>0</v>
      </c>
      <c r="T38" s="938" t="str">
        <f t="shared" si="3"/>
        <v>Class Size Reduction</v>
      </c>
      <c r="U38" s="938">
        <f t="shared" si="4"/>
        <v>3506886</v>
      </c>
    </row>
    <row r="39" spans="1:21" hidden="1" x14ac:dyDescent="0.2">
      <c r="B39" s="3" t="s">
        <v>386</v>
      </c>
      <c r="C39" s="937">
        <v>0</v>
      </c>
      <c r="D39" s="937">
        <v>0</v>
      </c>
      <c r="E39" s="937">
        <v>0</v>
      </c>
      <c r="F39" s="937">
        <v>0</v>
      </c>
      <c r="G39" s="937">
        <v>0</v>
      </c>
      <c r="H39" s="937">
        <v>0</v>
      </c>
      <c r="I39" s="937">
        <v>0</v>
      </c>
      <c r="J39" s="937">
        <v>0</v>
      </c>
      <c r="K39" s="937">
        <v>0</v>
      </c>
      <c r="L39" s="937">
        <v>0</v>
      </c>
      <c r="M39" s="937">
        <v>0</v>
      </c>
      <c r="N39" s="937">
        <v>0</v>
      </c>
      <c r="O39" s="937">
        <v>0</v>
      </c>
      <c r="P39" s="937">
        <v>0</v>
      </c>
      <c r="Q39" s="937">
        <v>0</v>
      </c>
      <c r="R39" s="937">
        <v>0</v>
      </c>
      <c r="S39" s="937">
        <v>0</v>
      </c>
      <c r="T39" s="938" t="str">
        <f t="shared" si="3"/>
        <v>For/on behalf of School District</v>
      </c>
      <c r="U39" s="938">
        <f t="shared" si="4"/>
        <v>0</v>
      </c>
    </row>
    <row r="40" spans="1:21" x14ac:dyDescent="0.2">
      <c r="B40" s="3"/>
      <c r="C40" s="935"/>
      <c r="D40" s="935"/>
      <c r="E40" s="935"/>
      <c r="F40" s="937"/>
      <c r="G40" s="937"/>
      <c r="H40" s="937"/>
      <c r="I40" s="937"/>
      <c r="J40" s="937"/>
      <c r="K40" s="937"/>
      <c r="L40" s="937"/>
      <c r="M40" s="937"/>
      <c r="N40" s="937"/>
      <c r="O40" s="937"/>
      <c r="P40" s="937"/>
      <c r="Q40" s="937"/>
      <c r="R40" s="937"/>
      <c r="S40" s="937"/>
      <c r="T40" s="938"/>
      <c r="U40" s="905"/>
    </row>
    <row r="41" spans="1:21" s="2" customFormat="1" x14ac:dyDescent="0.2">
      <c r="B41" s="39" t="s">
        <v>125</v>
      </c>
      <c r="C41" s="931">
        <f>SUM(C29:C40)</f>
        <v>34641433</v>
      </c>
      <c r="D41" s="931">
        <f t="shared" ref="D41:S41" si="5">SUM(D29:D40)</f>
        <v>0</v>
      </c>
      <c r="E41" s="931">
        <f t="shared" si="5"/>
        <v>0</v>
      </c>
      <c r="F41" s="917">
        <f t="shared" si="5"/>
        <v>0</v>
      </c>
      <c r="G41" s="917">
        <f t="shared" si="5"/>
        <v>0</v>
      </c>
      <c r="H41" s="917">
        <f t="shared" si="5"/>
        <v>8031057</v>
      </c>
      <c r="I41" s="917">
        <f t="shared" si="5"/>
        <v>891600</v>
      </c>
      <c r="J41" s="917">
        <f t="shared" si="5"/>
        <v>3506886</v>
      </c>
      <c r="K41" s="917">
        <f t="shared" si="5"/>
        <v>206027</v>
      </c>
      <c r="L41" s="917">
        <f t="shared" si="5"/>
        <v>4757747</v>
      </c>
      <c r="M41" s="917">
        <f t="shared" si="5"/>
        <v>0</v>
      </c>
      <c r="N41" s="917">
        <f t="shared" si="5"/>
        <v>0</v>
      </c>
      <c r="O41" s="917">
        <f t="shared" si="5"/>
        <v>163929</v>
      </c>
      <c r="P41" s="917">
        <f t="shared" si="5"/>
        <v>0</v>
      </c>
      <c r="Q41" s="917">
        <f t="shared" si="5"/>
        <v>0</v>
      </c>
      <c r="R41" s="917">
        <f t="shared" si="5"/>
        <v>0</v>
      </c>
      <c r="S41" s="917">
        <f t="shared" si="5"/>
        <v>0</v>
      </c>
      <c r="T41" s="918">
        <f>SUM(C41:S41)</f>
        <v>52198679</v>
      </c>
      <c r="U41" s="903"/>
    </row>
    <row r="42" spans="1:21" x14ac:dyDescent="0.2">
      <c r="B42" s="550"/>
      <c r="C42" s="935"/>
      <c r="D42" s="935"/>
      <c r="E42" s="935"/>
      <c r="F42" s="937"/>
      <c r="G42" s="937"/>
      <c r="H42" s="937"/>
      <c r="I42" s="937"/>
      <c r="J42" s="937"/>
      <c r="K42" s="937"/>
      <c r="L42" s="937"/>
      <c r="M42" s="937"/>
      <c r="N42" s="937"/>
      <c r="O42" s="937"/>
      <c r="P42" s="937"/>
      <c r="Q42" s="937"/>
      <c r="R42" s="937"/>
      <c r="S42" s="937"/>
      <c r="T42" s="938"/>
      <c r="U42" s="905"/>
    </row>
    <row r="43" spans="1:21" s="37" customFormat="1" hidden="1" x14ac:dyDescent="0.2">
      <c r="A43" s="45"/>
      <c r="B43" s="3" t="s">
        <v>297</v>
      </c>
      <c r="C43" s="937">
        <v>0</v>
      </c>
      <c r="D43" s="937">
        <v>0</v>
      </c>
      <c r="E43" s="937">
        <v>0</v>
      </c>
      <c r="F43" s="937">
        <v>0</v>
      </c>
      <c r="G43" s="937">
        <v>0</v>
      </c>
      <c r="H43" s="937">
        <v>0</v>
      </c>
      <c r="I43" s="937">
        <v>0</v>
      </c>
      <c r="J43" s="937">
        <v>0</v>
      </c>
      <c r="K43" s="937">
        <v>0</v>
      </c>
      <c r="L43" s="937">
        <v>0</v>
      </c>
      <c r="M43" s="937">
        <v>0</v>
      </c>
      <c r="N43" s="937">
        <v>0</v>
      </c>
      <c r="O43" s="937">
        <v>0</v>
      </c>
      <c r="P43" s="937">
        <v>0</v>
      </c>
      <c r="Q43" s="937">
        <v>0</v>
      </c>
      <c r="R43" s="937">
        <v>0</v>
      </c>
      <c r="S43" s="937">
        <v>0</v>
      </c>
      <c r="T43" s="938" t="str">
        <f t="shared" ref="T43:T50" si="6">B43</f>
        <v>Medicaid SBCHS Reimbursement</v>
      </c>
      <c r="U43" s="938">
        <f t="shared" ref="U43:U50" si="7">SUM(C43:S43)</f>
        <v>0</v>
      </c>
    </row>
    <row r="44" spans="1:21" s="37" customFormat="1" x14ac:dyDescent="0.2">
      <c r="A44" s="45"/>
      <c r="B44" s="3" t="s">
        <v>390</v>
      </c>
      <c r="C44" s="937">
        <v>0</v>
      </c>
      <c r="D44" s="937">
        <v>0</v>
      </c>
      <c r="E44" s="937">
        <v>0</v>
      </c>
      <c r="F44" s="937">
        <v>0</v>
      </c>
      <c r="G44" s="937">
        <v>0</v>
      </c>
      <c r="H44" s="937">
        <v>0</v>
      </c>
      <c r="I44" s="937">
        <v>0</v>
      </c>
      <c r="J44" s="937">
        <v>0</v>
      </c>
      <c r="K44" s="937">
        <v>0</v>
      </c>
      <c r="L44" s="937">
        <v>50000</v>
      </c>
      <c r="M44" s="937">
        <v>0</v>
      </c>
      <c r="N44" s="937">
        <v>0</v>
      </c>
      <c r="O44" s="937">
        <v>0</v>
      </c>
      <c r="P44" s="937">
        <v>0</v>
      </c>
      <c r="Q44" s="937">
        <v>0</v>
      </c>
      <c r="R44" s="937">
        <v>0</v>
      </c>
      <c r="S44" s="937">
        <v>0</v>
      </c>
      <c r="T44" s="938" t="str">
        <f t="shared" si="6"/>
        <v>Unrestricted - Direct Fed Gov't</v>
      </c>
      <c r="U44" s="938">
        <f t="shared" si="7"/>
        <v>50000</v>
      </c>
    </row>
    <row r="45" spans="1:21" s="37" customFormat="1" x14ac:dyDescent="0.2">
      <c r="A45" s="45"/>
      <c r="B45" s="3" t="s">
        <v>599</v>
      </c>
      <c r="C45" s="937">
        <v>1921000</v>
      </c>
      <c r="D45" s="937">
        <v>0</v>
      </c>
      <c r="E45" s="937">
        <v>0</v>
      </c>
      <c r="F45" s="937">
        <v>0</v>
      </c>
      <c r="G45" s="937">
        <v>0</v>
      </c>
      <c r="H45" s="937">
        <v>0</v>
      </c>
      <c r="I45" s="937">
        <v>0</v>
      </c>
      <c r="J45" s="937">
        <v>0</v>
      </c>
      <c r="K45" s="937">
        <v>0</v>
      </c>
      <c r="L45" s="937">
        <v>146414</v>
      </c>
      <c r="M45" s="937">
        <v>0</v>
      </c>
      <c r="N45" s="937">
        <v>0</v>
      </c>
      <c r="O45" s="937">
        <v>1579873</v>
      </c>
      <c r="P45" s="937">
        <v>0</v>
      </c>
      <c r="Q45" s="937">
        <v>0</v>
      </c>
      <c r="R45" s="937">
        <v>0</v>
      </c>
      <c r="S45" s="937">
        <v>0</v>
      </c>
      <c r="T45" s="938" t="str">
        <f t="shared" si="6"/>
        <v>Restricted - Direct Fed Gov't</v>
      </c>
      <c r="U45" s="938">
        <f t="shared" si="7"/>
        <v>3647287</v>
      </c>
    </row>
    <row r="46" spans="1:21" s="37" customFormat="1" x14ac:dyDescent="0.2">
      <c r="A46" s="45"/>
      <c r="B46" s="3" t="s">
        <v>299</v>
      </c>
      <c r="C46" s="937">
        <v>0</v>
      </c>
      <c r="D46" s="937">
        <v>0</v>
      </c>
      <c r="E46" s="937">
        <v>0</v>
      </c>
      <c r="F46" s="937">
        <v>0</v>
      </c>
      <c r="G46" s="937">
        <v>113289</v>
      </c>
      <c r="H46" s="937">
        <v>0</v>
      </c>
      <c r="I46" s="937">
        <v>0</v>
      </c>
      <c r="J46" s="937">
        <v>0</v>
      </c>
      <c r="K46" s="937">
        <v>0</v>
      </c>
      <c r="L46" s="937">
        <v>0</v>
      </c>
      <c r="M46" s="937">
        <v>0</v>
      </c>
      <c r="N46" s="937">
        <v>0</v>
      </c>
      <c r="O46" s="937">
        <v>0</v>
      </c>
      <c r="P46" s="937">
        <v>0</v>
      </c>
      <c r="Q46" s="937">
        <v>0</v>
      </c>
      <c r="R46" s="937">
        <v>0</v>
      </c>
      <c r="S46" s="937">
        <v>0</v>
      </c>
      <c r="T46" s="938" t="str">
        <f t="shared" si="6"/>
        <v>Restricted - Direct</v>
      </c>
      <c r="U46" s="938">
        <f t="shared" si="7"/>
        <v>113289</v>
      </c>
    </row>
    <row r="47" spans="1:21" s="37" customFormat="1" x14ac:dyDescent="0.2">
      <c r="A47" s="45"/>
      <c r="B47" s="3" t="s">
        <v>298</v>
      </c>
      <c r="C47" s="937">
        <v>0</v>
      </c>
      <c r="D47" s="937">
        <v>0</v>
      </c>
      <c r="E47" s="937">
        <v>0</v>
      </c>
      <c r="F47" s="937">
        <v>0</v>
      </c>
      <c r="G47" s="937">
        <v>3949010</v>
      </c>
      <c r="H47" s="937">
        <v>0</v>
      </c>
      <c r="I47" s="937">
        <v>0</v>
      </c>
      <c r="J47" s="937">
        <v>0</v>
      </c>
      <c r="K47" s="937">
        <v>0</v>
      </c>
      <c r="L47" s="937">
        <v>0</v>
      </c>
      <c r="M47" s="937">
        <v>0</v>
      </c>
      <c r="N47" s="937">
        <v>0</v>
      </c>
      <c r="O47" s="937">
        <v>8069</v>
      </c>
      <c r="P47" s="937">
        <v>0</v>
      </c>
      <c r="Q47" s="937">
        <v>0</v>
      </c>
      <c r="R47" s="937">
        <v>0</v>
      </c>
      <c r="S47" s="937">
        <v>0</v>
      </c>
      <c r="T47" s="938" t="str">
        <f t="shared" si="6"/>
        <v>Restricted - State Agency</v>
      </c>
      <c r="U47" s="938">
        <f t="shared" si="7"/>
        <v>3957079</v>
      </c>
    </row>
    <row r="48" spans="1:21" s="37" customFormat="1" hidden="1" x14ac:dyDescent="0.2">
      <c r="A48" s="45"/>
      <c r="B48" s="3" t="s">
        <v>476</v>
      </c>
      <c r="C48" s="937">
        <v>0</v>
      </c>
      <c r="D48" s="937">
        <v>0</v>
      </c>
      <c r="E48" s="937">
        <v>0</v>
      </c>
      <c r="F48" s="937">
        <v>0</v>
      </c>
      <c r="G48" s="937">
        <v>0</v>
      </c>
      <c r="H48" s="937">
        <v>0</v>
      </c>
      <c r="I48" s="937">
        <v>0</v>
      </c>
      <c r="J48" s="937">
        <v>0</v>
      </c>
      <c r="K48" s="937">
        <v>0</v>
      </c>
      <c r="L48" s="937">
        <v>0</v>
      </c>
      <c r="M48" s="937">
        <v>0</v>
      </c>
      <c r="N48" s="937">
        <v>0</v>
      </c>
      <c r="O48" s="937">
        <v>0</v>
      </c>
      <c r="P48" s="937">
        <v>0</v>
      </c>
      <c r="Q48" s="937">
        <v>0</v>
      </c>
      <c r="R48" s="937">
        <v>0</v>
      </c>
      <c r="S48" s="937">
        <v>0</v>
      </c>
      <c r="T48" s="938" t="str">
        <f t="shared" si="6"/>
        <v>Restricted - Other Agency</v>
      </c>
      <c r="U48" s="938">
        <f t="shared" si="7"/>
        <v>0</v>
      </c>
    </row>
    <row r="49" spans="1:21" s="37" customFormat="1" hidden="1" x14ac:dyDescent="0.2">
      <c r="A49" s="45"/>
      <c r="B49" s="3" t="s">
        <v>398</v>
      </c>
      <c r="C49" s="937">
        <v>0</v>
      </c>
      <c r="D49" s="937">
        <v>0</v>
      </c>
      <c r="E49" s="937">
        <v>0</v>
      </c>
      <c r="F49" s="937">
        <v>0</v>
      </c>
      <c r="G49" s="937">
        <v>0</v>
      </c>
      <c r="H49" s="937">
        <v>0</v>
      </c>
      <c r="I49" s="937">
        <v>0</v>
      </c>
      <c r="J49" s="937">
        <v>0</v>
      </c>
      <c r="K49" s="937">
        <v>0</v>
      </c>
      <c r="L49" s="937">
        <v>0</v>
      </c>
      <c r="M49" s="937">
        <v>0</v>
      </c>
      <c r="N49" s="937">
        <v>0</v>
      </c>
      <c r="O49" s="937">
        <v>0</v>
      </c>
      <c r="P49" s="937">
        <v>0</v>
      </c>
      <c r="Q49" s="937">
        <v>0</v>
      </c>
      <c r="R49" s="937">
        <v>0</v>
      </c>
      <c r="S49" s="937">
        <v>0</v>
      </c>
      <c r="T49" s="938" t="str">
        <f t="shared" si="6"/>
        <v>Revenue in Lieu of Taxes</v>
      </c>
      <c r="U49" s="938">
        <f t="shared" si="7"/>
        <v>0</v>
      </c>
    </row>
    <row r="50" spans="1:21" x14ac:dyDescent="0.2">
      <c r="B50" s="3" t="s">
        <v>554</v>
      </c>
      <c r="C50" s="937">
        <v>0</v>
      </c>
      <c r="D50" s="937">
        <v>0</v>
      </c>
      <c r="E50" s="937">
        <v>0</v>
      </c>
      <c r="F50" s="937">
        <v>0</v>
      </c>
      <c r="G50" s="937">
        <v>0</v>
      </c>
      <c r="H50" s="937">
        <v>0</v>
      </c>
      <c r="I50" s="937">
        <v>0</v>
      </c>
      <c r="J50" s="937">
        <v>0</v>
      </c>
      <c r="K50" s="937">
        <v>0</v>
      </c>
      <c r="L50" s="937">
        <v>0</v>
      </c>
      <c r="M50" s="937">
        <v>0</v>
      </c>
      <c r="N50" s="937">
        <v>0</v>
      </c>
      <c r="O50" s="937">
        <f>210000+155860</f>
        <v>365860</v>
      </c>
      <c r="P50" s="937">
        <v>0</v>
      </c>
      <c r="Q50" s="937">
        <v>0</v>
      </c>
      <c r="R50" s="937">
        <v>0</v>
      </c>
      <c r="S50" s="937">
        <v>0</v>
      </c>
      <c r="T50" s="938" t="str">
        <f t="shared" si="6"/>
        <v>Revenue for/on behalf of School District</v>
      </c>
      <c r="U50" s="938">
        <f t="shared" si="7"/>
        <v>365860</v>
      </c>
    </row>
    <row r="51" spans="1:21" x14ac:dyDescent="0.2">
      <c r="B51" s="3"/>
      <c r="C51" s="935"/>
      <c r="D51" s="935"/>
      <c r="E51" s="935"/>
      <c r="F51" s="937"/>
      <c r="G51" s="937"/>
      <c r="H51" s="937"/>
      <c r="I51" s="937"/>
      <c r="J51" s="937"/>
      <c r="K51" s="937"/>
      <c r="L51" s="937"/>
      <c r="M51" s="937"/>
      <c r="N51" s="937"/>
      <c r="O51" s="937"/>
      <c r="P51" s="937"/>
      <c r="Q51" s="937"/>
      <c r="R51" s="937"/>
      <c r="S51" s="937"/>
      <c r="T51" s="938"/>
      <c r="U51" s="905"/>
    </row>
    <row r="52" spans="1:21" s="2" customFormat="1" x14ac:dyDescent="0.2">
      <c r="B52" s="39" t="s">
        <v>126</v>
      </c>
      <c r="C52" s="931">
        <f>SUM(C42:C51)</f>
        <v>1921000</v>
      </c>
      <c r="D52" s="931">
        <f t="shared" ref="D52:S52" si="8">SUM(D42:D51)</f>
        <v>0</v>
      </c>
      <c r="E52" s="931">
        <f t="shared" si="8"/>
        <v>0</v>
      </c>
      <c r="F52" s="917">
        <f t="shared" si="8"/>
        <v>0</v>
      </c>
      <c r="G52" s="917">
        <f t="shared" si="8"/>
        <v>4062299</v>
      </c>
      <c r="H52" s="917">
        <f t="shared" si="8"/>
        <v>0</v>
      </c>
      <c r="I52" s="917">
        <f t="shared" si="8"/>
        <v>0</v>
      </c>
      <c r="J52" s="917">
        <f t="shared" si="8"/>
        <v>0</v>
      </c>
      <c r="K52" s="917">
        <f t="shared" si="8"/>
        <v>0</v>
      </c>
      <c r="L52" s="917">
        <f t="shared" si="8"/>
        <v>196414</v>
      </c>
      <c r="M52" s="917">
        <f t="shared" si="8"/>
        <v>0</v>
      </c>
      <c r="N52" s="917">
        <f t="shared" si="8"/>
        <v>0</v>
      </c>
      <c r="O52" s="917">
        <f t="shared" si="8"/>
        <v>1953802</v>
      </c>
      <c r="P52" s="917">
        <f t="shared" si="8"/>
        <v>0</v>
      </c>
      <c r="Q52" s="917">
        <f t="shared" si="8"/>
        <v>0</v>
      </c>
      <c r="R52" s="917">
        <f t="shared" si="8"/>
        <v>0</v>
      </c>
      <c r="S52" s="917">
        <f t="shared" si="8"/>
        <v>0</v>
      </c>
      <c r="T52" s="918">
        <f>SUM(C52:S52)</f>
        <v>8133515</v>
      </c>
      <c r="U52" s="903"/>
    </row>
    <row r="53" spans="1:21" x14ac:dyDescent="0.2">
      <c r="B53" s="550"/>
      <c r="C53" s="935"/>
      <c r="D53" s="935"/>
      <c r="E53" s="935"/>
      <c r="F53" s="937"/>
      <c r="G53" s="937"/>
      <c r="H53" s="937"/>
      <c r="I53" s="937"/>
      <c r="J53" s="937"/>
      <c r="K53" s="937"/>
      <c r="L53" s="937"/>
      <c r="M53" s="937"/>
      <c r="N53" s="937"/>
      <c r="O53" s="937"/>
      <c r="P53" s="937"/>
      <c r="Q53" s="937"/>
      <c r="R53" s="937"/>
      <c r="S53" s="937"/>
      <c r="T53" s="938"/>
      <c r="U53" s="905"/>
    </row>
    <row r="54" spans="1:21" hidden="1" x14ac:dyDescent="0.2">
      <c r="B54" s="3" t="s">
        <v>300</v>
      </c>
      <c r="C54" s="937">
        <v>0</v>
      </c>
      <c r="D54" s="937">
        <v>0</v>
      </c>
      <c r="E54" s="937">
        <v>0</v>
      </c>
      <c r="F54" s="937">
        <v>0</v>
      </c>
      <c r="G54" s="937">
        <v>0</v>
      </c>
      <c r="H54" s="937">
        <v>0</v>
      </c>
      <c r="I54" s="937">
        <v>0</v>
      </c>
      <c r="J54" s="937">
        <v>0</v>
      </c>
      <c r="K54" s="937">
        <v>0</v>
      </c>
      <c r="L54" s="937">
        <v>0</v>
      </c>
      <c r="M54" s="937">
        <v>0</v>
      </c>
      <c r="N54" s="937">
        <v>0</v>
      </c>
      <c r="O54" s="937">
        <v>0</v>
      </c>
      <c r="P54" s="937">
        <v>0</v>
      </c>
      <c r="Q54" s="937">
        <v>0</v>
      </c>
      <c r="R54" s="937">
        <v>0</v>
      </c>
      <c r="S54" s="937">
        <v>0</v>
      </c>
      <c r="T54" s="938" t="str">
        <f>B54</f>
        <v xml:space="preserve">Bond Principal </v>
      </c>
      <c r="U54" s="938">
        <f>SUM(C54:S54)</f>
        <v>0</v>
      </c>
    </row>
    <row r="55" spans="1:21" hidden="1" x14ac:dyDescent="0.2">
      <c r="B55" s="3" t="s">
        <v>408</v>
      </c>
      <c r="C55" s="937">
        <v>0</v>
      </c>
      <c r="D55" s="937">
        <v>0</v>
      </c>
      <c r="E55" s="937">
        <v>0</v>
      </c>
      <c r="F55" s="937">
        <v>0</v>
      </c>
      <c r="G55" s="937">
        <v>0</v>
      </c>
      <c r="H55" s="937">
        <v>0</v>
      </c>
      <c r="I55" s="937">
        <v>0</v>
      </c>
      <c r="J55" s="937">
        <v>0</v>
      </c>
      <c r="K55" s="937">
        <v>0</v>
      </c>
      <c r="L55" s="937">
        <v>0</v>
      </c>
      <c r="M55" s="937">
        <v>0</v>
      </c>
      <c r="N55" s="937">
        <v>0</v>
      </c>
      <c r="O55" s="937">
        <v>0</v>
      </c>
      <c r="P55" s="937">
        <v>0</v>
      </c>
      <c r="Q55" s="937">
        <v>0</v>
      </c>
      <c r="R55" s="937">
        <v>0</v>
      </c>
      <c r="S55" s="937">
        <v>0</v>
      </c>
      <c r="T55" s="938" t="str">
        <f>B55</f>
        <v>Premium/Discount of Bond Sale</v>
      </c>
      <c r="U55" s="938">
        <f>SUM(C55:S55)</f>
        <v>0</v>
      </c>
    </row>
    <row r="56" spans="1:21" s="37" customFormat="1" x14ac:dyDescent="0.2">
      <c r="A56" s="45"/>
      <c r="B56" s="3" t="s">
        <v>301</v>
      </c>
      <c r="C56" s="937">
        <v>0</v>
      </c>
      <c r="D56" s="937">
        <v>0</v>
      </c>
      <c r="E56" s="937">
        <v>0</v>
      </c>
      <c r="F56" s="937">
        <v>0</v>
      </c>
      <c r="G56" s="937">
        <v>0</v>
      </c>
      <c r="H56" s="937">
        <v>0</v>
      </c>
      <c r="I56" s="937">
        <v>0</v>
      </c>
      <c r="J56" s="937">
        <v>788024</v>
      </c>
      <c r="K56" s="937">
        <v>0</v>
      </c>
      <c r="L56" s="937">
        <v>5944098</v>
      </c>
      <c r="M56" s="937">
        <v>0</v>
      </c>
      <c r="N56" s="937">
        <v>432866</v>
      </c>
      <c r="O56" s="937">
        <f>621496-155860</f>
        <v>465636</v>
      </c>
      <c r="P56" s="937">
        <v>0</v>
      </c>
      <c r="Q56" s="937">
        <v>0</v>
      </c>
      <c r="R56" s="937">
        <v>0</v>
      </c>
      <c r="S56" s="937">
        <v>-7197758</v>
      </c>
      <c r="T56" s="938" t="str">
        <f>B56</f>
        <v>Transfers from Other Funds</v>
      </c>
      <c r="U56" s="938">
        <f>SUM(C56:S56)</f>
        <v>432866</v>
      </c>
    </row>
    <row r="57" spans="1:21" s="37" customFormat="1" x14ac:dyDescent="0.2">
      <c r="A57" s="45"/>
      <c r="B57" s="3" t="s">
        <v>302</v>
      </c>
      <c r="C57" s="937">
        <v>0</v>
      </c>
      <c r="D57" s="937">
        <v>5000</v>
      </c>
      <c r="E57" s="937">
        <v>0</v>
      </c>
      <c r="F57" s="937">
        <v>0</v>
      </c>
      <c r="G57" s="937">
        <v>0</v>
      </c>
      <c r="H57" s="937">
        <v>0</v>
      </c>
      <c r="I57" s="937">
        <v>0</v>
      </c>
      <c r="J57" s="937">
        <v>0</v>
      </c>
      <c r="K57" s="937">
        <v>0</v>
      </c>
      <c r="L57" s="937">
        <v>0</v>
      </c>
      <c r="M57" s="937">
        <v>0</v>
      </c>
      <c r="N57" s="937">
        <v>0</v>
      </c>
      <c r="O57" s="937">
        <v>0</v>
      </c>
      <c r="P57" s="937">
        <v>0</v>
      </c>
      <c r="Q57" s="937">
        <v>0</v>
      </c>
      <c r="R57" s="937">
        <v>0</v>
      </c>
      <c r="S57" s="937">
        <v>0</v>
      </c>
      <c r="T57" s="938" t="str">
        <f>B57</f>
        <v xml:space="preserve">Gain/Loss Disposal of Assets </v>
      </c>
      <c r="U57" s="938">
        <f>SUM(C57:S57)</f>
        <v>5000</v>
      </c>
    </row>
    <row r="58" spans="1:21" x14ac:dyDescent="0.2">
      <c r="B58" s="3"/>
      <c r="C58" s="935"/>
      <c r="D58" s="935"/>
      <c r="E58" s="935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8"/>
      <c r="U58" s="905"/>
    </row>
    <row r="59" spans="1:21" s="2" customFormat="1" x14ac:dyDescent="0.2">
      <c r="B59" s="39" t="s">
        <v>127</v>
      </c>
      <c r="C59" s="931">
        <f>SUM(C53:C58)</f>
        <v>0</v>
      </c>
      <c r="D59" s="931">
        <f t="shared" ref="D59:S59" si="9">SUM(D53:D58)</f>
        <v>5000</v>
      </c>
      <c r="E59" s="931">
        <f t="shared" si="9"/>
        <v>0</v>
      </c>
      <c r="F59" s="917">
        <f t="shared" si="9"/>
        <v>0</v>
      </c>
      <c r="G59" s="917">
        <f t="shared" si="9"/>
        <v>0</v>
      </c>
      <c r="H59" s="917">
        <f t="shared" si="9"/>
        <v>0</v>
      </c>
      <c r="I59" s="917">
        <f t="shared" si="9"/>
        <v>0</v>
      </c>
      <c r="J59" s="917">
        <f t="shared" si="9"/>
        <v>788024</v>
      </c>
      <c r="K59" s="917">
        <f t="shared" si="9"/>
        <v>0</v>
      </c>
      <c r="L59" s="917">
        <f t="shared" si="9"/>
        <v>5944098</v>
      </c>
      <c r="M59" s="917">
        <f t="shared" si="9"/>
        <v>0</v>
      </c>
      <c r="N59" s="917">
        <f t="shared" si="9"/>
        <v>432866</v>
      </c>
      <c r="O59" s="917">
        <f t="shared" si="9"/>
        <v>465636</v>
      </c>
      <c r="P59" s="917">
        <f t="shared" si="9"/>
        <v>0</v>
      </c>
      <c r="Q59" s="917">
        <f t="shared" si="9"/>
        <v>0</v>
      </c>
      <c r="R59" s="917">
        <f t="shared" si="9"/>
        <v>0</v>
      </c>
      <c r="S59" s="917">
        <f t="shared" si="9"/>
        <v>-7197758</v>
      </c>
      <c r="T59" s="918">
        <f>SUM(C59:S59)</f>
        <v>437866</v>
      </c>
      <c r="U59" s="903"/>
    </row>
    <row r="60" spans="1:21" x14ac:dyDescent="0.2">
      <c r="B60" s="3"/>
      <c r="C60" s="935"/>
      <c r="D60" s="935"/>
      <c r="E60" s="935"/>
      <c r="F60" s="937"/>
      <c r="G60" s="937"/>
      <c r="H60" s="937"/>
      <c r="I60" s="937"/>
      <c r="J60" s="937"/>
      <c r="K60" s="937"/>
      <c r="L60" s="937"/>
      <c r="M60" s="937"/>
      <c r="N60" s="937"/>
      <c r="O60" s="937"/>
      <c r="P60" s="937"/>
      <c r="Q60" s="937"/>
      <c r="R60" s="937"/>
      <c r="S60" s="937"/>
      <c r="T60" s="938"/>
      <c r="U60" s="905"/>
    </row>
    <row r="61" spans="1:21" s="2" customFormat="1" x14ac:dyDescent="0.2">
      <c r="B61" s="18" t="s">
        <v>128</v>
      </c>
      <c r="C61" s="931">
        <f>SUM(C59,C52,C41,C28)</f>
        <v>102942506</v>
      </c>
      <c r="D61" s="931">
        <f t="shared" ref="D61:S61" si="10">SUM(D59,D52,D41,D28)</f>
        <v>70900</v>
      </c>
      <c r="E61" s="931">
        <f t="shared" si="10"/>
        <v>16172805</v>
      </c>
      <c r="F61" s="917">
        <f t="shared" si="10"/>
        <v>850</v>
      </c>
      <c r="G61" s="917">
        <f t="shared" si="10"/>
        <v>4062299</v>
      </c>
      <c r="H61" s="917">
        <f t="shared" si="10"/>
        <v>8031057</v>
      </c>
      <c r="I61" s="917">
        <f t="shared" si="10"/>
        <v>891600</v>
      </c>
      <c r="J61" s="917">
        <f t="shared" si="10"/>
        <v>4294910</v>
      </c>
      <c r="K61" s="917">
        <f t="shared" si="10"/>
        <v>206027</v>
      </c>
      <c r="L61" s="917">
        <f t="shared" si="10"/>
        <v>10898259</v>
      </c>
      <c r="M61" s="917">
        <f t="shared" si="10"/>
        <v>1500</v>
      </c>
      <c r="N61" s="917">
        <f t="shared" si="10"/>
        <v>690659</v>
      </c>
      <c r="O61" s="917">
        <f t="shared" si="10"/>
        <v>3551678</v>
      </c>
      <c r="P61" s="917">
        <f t="shared" si="10"/>
        <v>13550000</v>
      </c>
      <c r="Q61" s="917">
        <f t="shared" si="10"/>
        <v>510000</v>
      </c>
      <c r="R61" s="917">
        <f t="shared" si="10"/>
        <v>160000</v>
      </c>
      <c r="S61" s="917">
        <f t="shared" si="10"/>
        <v>-7197758</v>
      </c>
      <c r="T61" s="918">
        <f>SUM(T28:T60)</f>
        <v>158837292</v>
      </c>
      <c r="U61" s="903"/>
    </row>
    <row r="62" spans="1:21" s="2" customFormat="1" x14ac:dyDescent="0.2">
      <c r="B62" s="18"/>
      <c r="C62" s="931"/>
      <c r="D62" s="931"/>
      <c r="E62" s="931"/>
      <c r="F62" s="917"/>
      <c r="G62" s="917"/>
      <c r="H62" s="917"/>
      <c r="I62" s="917"/>
      <c r="J62" s="917"/>
      <c r="K62" s="917"/>
      <c r="L62" s="917"/>
      <c r="M62" s="917"/>
      <c r="N62" s="917"/>
      <c r="O62" s="917"/>
      <c r="P62" s="917"/>
      <c r="Q62" s="917"/>
      <c r="R62" s="917"/>
      <c r="S62" s="917"/>
      <c r="T62" s="918"/>
      <c r="U62" s="903"/>
    </row>
    <row r="63" spans="1:21" s="37" customFormat="1" x14ac:dyDescent="0.2">
      <c r="A63" s="45"/>
      <c r="B63" s="3" t="s">
        <v>303</v>
      </c>
      <c r="C63" s="937">
        <v>900000</v>
      </c>
      <c r="D63" s="937">
        <v>0</v>
      </c>
      <c r="E63" s="937">
        <v>0</v>
      </c>
      <c r="F63" s="937">
        <v>0</v>
      </c>
      <c r="G63" s="937">
        <v>0</v>
      </c>
      <c r="H63" s="937">
        <v>0</v>
      </c>
      <c r="I63" s="937">
        <v>0</v>
      </c>
      <c r="J63" s="937">
        <v>0</v>
      </c>
      <c r="K63" s="937">
        <v>0</v>
      </c>
      <c r="L63" s="937">
        <v>0</v>
      </c>
      <c r="M63" s="937">
        <v>0</v>
      </c>
      <c r="N63" s="937">
        <v>0</v>
      </c>
      <c r="O63" s="937">
        <v>0</v>
      </c>
      <c r="P63" s="937">
        <v>0</v>
      </c>
      <c r="Q63" s="937">
        <v>0</v>
      </c>
      <c r="R63" s="937">
        <v>0</v>
      </c>
      <c r="S63" s="937">
        <v>0</v>
      </c>
      <c r="T63" s="938" t="str">
        <f>B63</f>
        <v>Reserved Opening Balance</v>
      </c>
      <c r="U63" s="938">
        <f>SUM(C63:S63)</f>
        <v>900000</v>
      </c>
    </row>
    <row r="64" spans="1:21" s="37" customFormat="1" x14ac:dyDescent="0.2">
      <c r="A64" s="45"/>
      <c r="B64" s="3" t="s">
        <v>600</v>
      </c>
      <c r="C64" s="937">
        <v>14110296</v>
      </c>
      <c r="D64" s="937">
        <v>527872</v>
      </c>
      <c r="E64" s="937">
        <v>16646938</v>
      </c>
      <c r="F64" s="937">
        <v>48424</v>
      </c>
      <c r="G64" s="937">
        <v>0</v>
      </c>
      <c r="H64" s="937">
        <v>0</v>
      </c>
      <c r="I64" s="937">
        <v>0</v>
      </c>
      <c r="J64" s="937">
        <v>0</v>
      </c>
      <c r="K64" s="937">
        <v>0</v>
      </c>
      <c r="L64" s="937">
        <v>0</v>
      </c>
      <c r="M64" s="937">
        <v>6657</v>
      </c>
      <c r="N64" s="937">
        <v>779517</v>
      </c>
      <c r="O64" s="937">
        <v>0</v>
      </c>
      <c r="P64" s="937">
        <v>0</v>
      </c>
      <c r="Q64" s="937">
        <v>0</v>
      </c>
      <c r="R64" s="937">
        <v>0</v>
      </c>
      <c r="S64" s="937">
        <v>0</v>
      </c>
      <c r="T64" s="938" t="str">
        <f>B64</f>
        <v>Unreserved Opening Balance</v>
      </c>
      <c r="U64" s="938">
        <f>SUM(C64:S64)</f>
        <v>32119704</v>
      </c>
    </row>
    <row r="65" spans="1:22" s="37" customFormat="1" x14ac:dyDescent="0.2">
      <c r="A65" s="45"/>
      <c r="B65" s="3" t="s">
        <v>304</v>
      </c>
      <c r="C65" s="937">
        <v>0</v>
      </c>
      <c r="D65" s="937">
        <v>0</v>
      </c>
      <c r="E65" s="937">
        <v>0</v>
      </c>
      <c r="F65" s="937">
        <v>0</v>
      </c>
      <c r="G65" s="937">
        <v>0</v>
      </c>
      <c r="H65" s="937">
        <v>0</v>
      </c>
      <c r="I65" s="937">
        <v>0</v>
      </c>
      <c r="J65" s="937">
        <v>0</v>
      </c>
      <c r="K65" s="937">
        <v>0</v>
      </c>
      <c r="L65" s="937">
        <v>0</v>
      </c>
      <c r="M65" s="937">
        <v>0</v>
      </c>
      <c r="N65" s="937">
        <v>0</v>
      </c>
      <c r="O65" s="937">
        <v>0</v>
      </c>
      <c r="P65" s="937">
        <v>332926</v>
      </c>
      <c r="Q65" s="937">
        <v>1537711</v>
      </c>
      <c r="R65" s="937">
        <v>518460</v>
      </c>
      <c r="S65" s="937">
        <v>0</v>
      </c>
      <c r="T65" s="938" t="str">
        <f>B65</f>
        <v>Opening Balance (Other)</v>
      </c>
      <c r="U65" s="938">
        <f>SUM(C65:S65)</f>
        <v>2389097</v>
      </c>
    </row>
    <row r="66" spans="1:22" s="37" customFormat="1" hidden="1" x14ac:dyDescent="0.2">
      <c r="A66" s="45"/>
      <c r="B66" s="3" t="s">
        <v>305</v>
      </c>
      <c r="C66" s="937">
        <v>0</v>
      </c>
      <c r="D66" s="937">
        <v>0</v>
      </c>
      <c r="E66" s="937">
        <v>0</v>
      </c>
      <c r="F66" s="937">
        <v>0</v>
      </c>
      <c r="G66" s="937">
        <v>0</v>
      </c>
      <c r="H66" s="937">
        <v>0</v>
      </c>
      <c r="I66" s="937">
        <v>0</v>
      </c>
      <c r="J66" s="937">
        <v>0</v>
      </c>
      <c r="K66" s="937">
        <v>0</v>
      </c>
      <c r="L66" s="937">
        <v>0</v>
      </c>
      <c r="M66" s="937">
        <v>0</v>
      </c>
      <c r="N66" s="937">
        <v>0</v>
      </c>
      <c r="O66" s="937">
        <v>0</v>
      </c>
      <c r="P66" s="937">
        <v>0</v>
      </c>
      <c r="Q66" s="937">
        <v>0</v>
      </c>
      <c r="R66" s="937">
        <v>0</v>
      </c>
      <c r="S66" s="937">
        <v>0</v>
      </c>
      <c r="T66" s="938" t="str">
        <f>B66</f>
        <v>Reverted to State</v>
      </c>
      <c r="U66" s="938">
        <f>SUM(C66:S66)</f>
        <v>0</v>
      </c>
    </row>
    <row r="67" spans="1:22" x14ac:dyDescent="0.2">
      <c r="B67" s="3"/>
      <c r="C67" s="935"/>
      <c r="D67" s="935"/>
      <c r="E67" s="935"/>
      <c r="F67" s="937"/>
      <c r="G67" s="937"/>
      <c r="H67" s="937"/>
      <c r="I67" s="937"/>
      <c r="J67" s="937"/>
      <c r="K67" s="937"/>
      <c r="L67" s="937"/>
      <c r="M67" s="937"/>
      <c r="N67" s="937"/>
      <c r="O67" s="937"/>
      <c r="P67" s="937"/>
      <c r="Q67" s="937"/>
      <c r="R67" s="937"/>
      <c r="S67" s="937"/>
      <c r="T67" s="938"/>
      <c r="U67" s="905"/>
    </row>
    <row r="68" spans="1:22" s="2" customFormat="1" x14ac:dyDescent="0.2">
      <c r="B68" s="39" t="s">
        <v>129</v>
      </c>
      <c r="C68" s="931">
        <f>SUM(C62:C67)</f>
        <v>15010296</v>
      </c>
      <c r="D68" s="931">
        <f t="shared" ref="D68:S68" si="11">SUM(D62:D67)</f>
        <v>527872</v>
      </c>
      <c r="E68" s="931">
        <f t="shared" si="11"/>
        <v>16646938</v>
      </c>
      <c r="F68" s="917">
        <f t="shared" si="11"/>
        <v>48424</v>
      </c>
      <c r="G68" s="917">
        <f t="shared" si="11"/>
        <v>0</v>
      </c>
      <c r="H68" s="917">
        <f t="shared" si="11"/>
        <v>0</v>
      </c>
      <c r="I68" s="917">
        <f t="shared" si="11"/>
        <v>0</v>
      </c>
      <c r="J68" s="917">
        <f t="shared" si="11"/>
        <v>0</v>
      </c>
      <c r="K68" s="917">
        <f t="shared" si="11"/>
        <v>0</v>
      </c>
      <c r="L68" s="917">
        <f t="shared" si="11"/>
        <v>0</v>
      </c>
      <c r="M68" s="917">
        <f t="shared" si="11"/>
        <v>6657</v>
      </c>
      <c r="N68" s="917">
        <f t="shared" si="11"/>
        <v>779517</v>
      </c>
      <c r="O68" s="917">
        <f t="shared" si="11"/>
        <v>0</v>
      </c>
      <c r="P68" s="917">
        <f t="shared" si="11"/>
        <v>332926</v>
      </c>
      <c r="Q68" s="917">
        <f t="shared" si="11"/>
        <v>1537711</v>
      </c>
      <c r="R68" s="917">
        <f t="shared" si="11"/>
        <v>518460</v>
      </c>
      <c r="S68" s="917">
        <f t="shared" si="11"/>
        <v>0</v>
      </c>
      <c r="T68" s="917">
        <f>SUM(C68:S68)</f>
        <v>35408801</v>
      </c>
      <c r="U68" s="903"/>
    </row>
    <row r="69" spans="1:22" x14ac:dyDescent="0.2">
      <c r="B69" s="3"/>
      <c r="C69" s="933"/>
      <c r="D69" s="933"/>
      <c r="E69" s="933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484"/>
      <c r="U69" s="3"/>
    </row>
    <row r="70" spans="1:22" x14ac:dyDescent="0.2">
      <c r="A70" s="22"/>
      <c r="B70" s="23" t="s">
        <v>306</v>
      </c>
      <c r="C70" s="24">
        <f>SUM(C68,C61)</f>
        <v>117952802</v>
      </c>
      <c r="D70" s="24">
        <f t="shared" ref="D70:S70" si="12">SUM(D68,D61)</f>
        <v>598772</v>
      </c>
      <c r="E70" s="24">
        <f t="shared" si="12"/>
        <v>32819743</v>
      </c>
      <c r="F70" s="47">
        <f t="shared" si="12"/>
        <v>49274</v>
      </c>
      <c r="G70" s="47">
        <f t="shared" si="12"/>
        <v>4062299</v>
      </c>
      <c r="H70" s="47">
        <f t="shared" si="12"/>
        <v>8031057</v>
      </c>
      <c r="I70" s="47">
        <f t="shared" si="12"/>
        <v>891600</v>
      </c>
      <c r="J70" s="47">
        <f t="shared" si="12"/>
        <v>4294910</v>
      </c>
      <c r="K70" s="47">
        <f t="shared" si="12"/>
        <v>206027</v>
      </c>
      <c r="L70" s="47">
        <f t="shared" si="12"/>
        <v>10898259</v>
      </c>
      <c r="M70" s="47">
        <f t="shared" si="12"/>
        <v>8157</v>
      </c>
      <c r="N70" s="47">
        <f t="shared" si="12"/>
        <v>1470176</v>
      </c>
      <c r="O70" s="47">
        <f t="shared" si="12"/>
        <v>3551678</v>
      </c>
      <c r="P70" s="47">
        <f t="shared" si="12"/>
        <v>13882926</v>
      </c>
      <c r="Q70" s="47">
        <f t="shared" si="12"/>
        <v>2047711</v>
      </c>
      <c r="R70" s="47">
        <f t="shared" si="12"/>
        <v>678460</v>
      </c>
      <c r="S70" s="47">
        <f t="shared" si="12"/>
        <v>-7197758</v>
      </c>
      <c r="T70" s="485">
        <f>SUM(C70:S70)</f>
        <v>194246093</v>
      </c>
      <c r="U70" s="912">
        <f>F1-T70</f>
        <v>0</v>
      </c>
      <c r="V70" s="17"/>
    </row>
    <row r="71" spans="1:22" s="2" customFormat="1" x14ac:dyDescent="0.2">
      <c r="A71" s="27"/>
      <c r="B71" s="28" t="s">
        <v>131</v>
      </c>
      <c r="C71" s="285">
        <f t="shared" ref="C71:S71" si="13">SUM(C75:C210)</f>
        <v>117952802</v>
      </c>
      <c r="D71" s="285">
        <f t="shared" si="13"/>
        <v>598772</v>
      </c>
      <c r="E71" s="285">
        <f t="shared" si="13"/>
        <v>32819743</v>
      </c>
      <c r="F71" s="50">
        <f t="shared" si="13"/>
        <v>49274</v>
      </c>
      <c r="G71" s="50">
        <f t="shared" si="13"/>
        <v>4062299</v>
      </c>
      <c r="H71" s="50">
        <f t="shared" si="13"/>
        <v>8031057</v>
      </c>
      <c r="I71" s="50">
        <f t="shared" si="13"/>
        <v>891600</v>
      </c>
      <c r="J71" s="50">
        <f t="shared" si="13"/>
        <v>4294910</v>
      </c>
      <c r="K71" s="50">
        <f t="shared" si="13"/>
        <v>206027</v>
      </c>
      <c r="L71" s="50">
        <f t="shared" si="13"/>
        <v>10898259</v>
      </c>
      <c r="M71" s="50">
        <f t="shared" si="13"/>
        <v>8157</v>
      </c>
      <c r="N71" s="50">
        <f t="shared" si="13"/>
        <v>1470176</v>
      </c>
      <c r="O71" s="50">
        <f t="shared" si="13"/>
        <v>3551678</v>
      </c>
      <c r="P71" s="50">
        <f t="shared" si="13"/>
        <v>13882926</v>
      </c>
      <c r="Q71" s="50">
        <f t="shared" si="13"/>
        <v>2047711</v>
      </c>
      <c r="R71" s="50">
        <f t="shared" si="13"/>
        <v>678460</v>
      </c>
      <c r="S71" s="50">
        <f t="shared" si="13"/>
        <v>-7197758</v>
      </c>
      <c r="T71" s="486">
        <f>SUM(C71:S71)</f>
        <v>194246093</v>
      </c>
    </row>
    <row r="72" spans="1:22" x14ac:dyDescent="0.2">
      <c r="A72" s="30"/>
      <c r="B72" s="286" t="s">
        <v>132</v>
      </c>
      <c r="C72" s="909">
        <f t="shared" ref="C72:T72" si="14">C70-C71</f>
        <v>0</v>
      </c>
      <c r="D72" s="909">
        <f t="shared" si="14"/>
        <v>0</v>
      </c>
      <c r="E72" s="909">
        <f t="shared" si="14"/>
        <v>0</v>
      </c>
      <c r="F72" s="911">
        <f t="shared" si="14"/>
        <v>0</v>
      </c>
      <c r="G72" s="911">
        <f t="shared" si="14"/>
        <v>0</v>
      </c>
      <c r="H72" s="911">
        <f t="shared" si="14"/>
        <v>0</v>
      </c>
      <c r="I72" s="911">
        <f t="shared" si="14"/>
        <v>0</v>
      </c>
      <c r="J72" s="911">
        <f t="shared" si="14"/>
        <v>0</v>
      </c>
      <c r="K72" s="911">
        <f t="shared" si="14"/>
        <v>0</v>
      </c>
      <c r="L72" s="911">
        <f t="shared" si="14"/>
        <v>0</v>
      </c>
      <c r="M72" s="911">
        <f t="shared" si="14"/>
        <v>0</v>
      </c>
      <c r="N72" s="911">
        <f t="shared" si="14"/>
        <v>0</v>
      </c>
      <c r="O72" s="911">
        <f>O70-O71</f>
        <v>0</v>
      </c>
      <c r="P72" s="911">
        <f>P70-P71</f>
        <v>0</v>
      </c>
      <c r="Q72" s="911">
        <f t="shared" ref="Q72:R72" si="15">Q70-Q71</f>
        <v>0</v>
      </c>
      <c r="R72" s="911">
        <f t="shared" si="15"/>
        <v>0</v>
      </c>
      <c r="S72" s="911">
        <f>S70-S71</f>
        <v>0</v>
      </c>
      <c r="T72" s="486">
        <f t="shared" si="14"/>
        <v>0</v>
      </c>
      <c r="U72" s="3"/>
    </row>
    <row r="73" spans="1:22" x14ac:dyDescent="0.2">
      <c r="B73" s="3"/>
      <c r="C73" s="933"/>
      <c r="D73" s="933"/>
      <c r="E73" s="933"/>
      <c r="F73" s="934"/>
      <c r="G73" s="934"/>
      <c r="H73" s="934"/>
      <c r="I73" s="934"/>
      <c r="J73" s="934"/>
      <c r="K73" s="934"/>
      <c r="L73" s="934"/>
      <c r="M73" s="934"/>
      <c r="N73" s="934"/>
      <c r="O73" s="934"/>
      <c r="P73" s="934"/>
      <c r="Q73" s="934"/>
      <c r="R73" s="934"/>
      <c r="S73" s="934"/>
      <c r="T73" s="484"/>
      <c r="U73" s="3"/>
    </row>
    <row r="74" spans="1:22" x14ac:dyDescent="0.2">
      <c r="B74" s="2" t="s">
        <v>307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4"/>
    </row>
    <row r="75" spans="1:22" x14ac:dyDescent="0.2">
      <c r="A75" s="2">
        <v>100</v>
      </c>
      <c r="B75" t="s">
        <v>134</v>
      </c>
      <c r="C75" s="916">
        <v>50167400</v>
      </c>
      <c r="D75" s="916">
        <v>0</v>
      </c>
      <c r="E75" s="916">
        <v>0</v>
      </c>
      <c r="F75" s="913">
        <v>5397</v>
      </c>
      <c r="G75" s="913">
        <f>830855+93174</f>
        <v>924029</v>
      </c>
      <c r="H75" s="913">
        <f>1410556+0+3390319</f>
        <v>4800875</v>
      </c>
      <c r="I75" s="913">
        <v>891600</v>
      </c>
      <c r="J75" s="913">
        <v>4294910</v>
      </c>
      <c r="K75" s="913">
        <v>0</v>
      </c>
      <c r="L75" s="913">
        <v>0</v>
      </c>
      <c r="M75" s="913">
        <v>0</v>
      </c>
      <c r="N75" s="913">
        <v>267566</v>
      </c>
      <c r="O75" s="913">
        <v>0</v>
      </c>
      <c r="P75" s="913">
        <v>0</v>
      </c>
      <c r="Q75" s="913">
        <v>0</v>
      </c>
      <c r="R75" s="913">
        <v>0</v>
      </c>
      <c r="S75" s="913">
        <v>0</v>
      </c>
      <c r="T75" s="913">
        <f t="shared" ref="T75:T119" si="16">SUM(C75:S75)</f>
        <v>61351777</v>
      </c>
    </row>
    <row r="76" spans="1:22" x14ac:dyDescent="0.2">
      <c r="A76" s="2">
        <v>200</v>
      </c>
      <c r="B76" t="s">
        <v>135</v>
      </c>
      <c r="C76" s="916">
        <v>0</v>
      </c>
      <c r="D76" s="916">
        <v>0</v>
      </c>
      <c r="E76" s="916">
        <v>0</v>
      </c>
      <c r="F76" s="913">
        <v>0</v>
      </c>
      <c r="G76" s="913">
        <f>1711360+1000+237777</f>
        <v>1950137</v>
      </c>
      <c r="H76" s="913">
        <f>235093+2960</f>
        <v>238053</v>
      </c>
      <c r="I76" s="913">
        <v>0</v>
      </c>
      <c r="J76" s="913">
        <v>0</v>
      </c>
      <c r="K76" s="913">
        <v>0</v>
      </c>
      <c r="L76" s="913">
        <f>10088093+1000+617315</f>
        <v>10706408</v>
      </c>
      <c r="M76" s="913">
        <v>0</v>
      </c>
      <c r="N76" s="913">
        <v>0</v>
      </c>
      <c r="O76" s="913">
        <v>0</v>
      </c>
      <c r="P76" s="913">
        <v>0</v>
      </c>
      <c r="Q76" s="913">
        <v>0</v>
      </c>
      <c r="R76" s="913">
        <v>0</v>
      </c>
      <c r="S76" s="913">
        <v>0</v>
      </c>
      <c r="T76" s="913">
        <f t="shared" si="16"/>
        <v>12894598</v>
      </c>
    </row>
    <row r="77" spans="1:22" hidden="1" x14ac:dyDescent="0.2">
      <c r="A77" s="2" t="s">
        <v>10</v>
      </c>
      <c r="B77" t="s">
        <v>136</v>
      </c>
      <c r="C77" s="916">
        <v>0</v>
      </c>
      <c r="D77" s="916">
        <v>0</v>
      </c>
      <c r="E77" s="916">
        <v>0</v>
      </c>
      <c r="F77" s="913">
        <v>0</v>
      </c>
      <c r="G77" s="913">
        <v>0</v>
      </c>
      <c r="H77" s="913">
        <v>0</v>
      </c>
      <c r="I77" s="913">
        <v>0</v>
      </c>
      <c r="J77" s="913">
        <v>0</v>
      </c>
      <c r="K77" s="913">
        <v>0</v>
      </c>
      <c r="L77" s="913">
        <v>0</v>
      </c>
      <c r="M77" s="913">
        <v>0</v>
      </c>
      <c r="N77" s="913">
        <v>0</v>
      </c>
      <c r="O77" s="913">
        <v>0</v>
      </c>
      <c r="P77" s="913">
        <v>0</v>
      </c>
      <c r="Q77" s="913">
        <v>0</v>
      </c>
      <c r="R77" s="913">
        <v>0</v>
      </c>
      <c r="S77" s="913">
        <v>0</v>
      </c>
      <c r="T77" s="913">
        <f t="shared" si="16"/>
        <v>0</v>
      </c>
    </row>
    <row r="78" spans="1:22" x14ac:dyDescent="0.2">
      <c r="A78" s="2">
        <v>270</v>
      </c>
      <c r="B78" t="s">
        <v>137</v>
      </c>
      <c r="C78" s="916">
        <v>0</v>
      </c>
      <c r="D78" s="916">
        <v>0</v>
      </c>
      <c r="E78" s="916">
        <v>0</v>
      </c>
      <c r="F78" s="913">
        <v>0</v>
      </c>
      <c r="G78" s="913">
        <v>0</v>
      </c>
      <c r="H78" s="913">
        <v>129712</v>
      </c>
      <c r="I78" s="913">
        <v>0</v>
      </c>
      <c r="J78" s="913">
        <v>0</v>
      </c>
      <c r="K78" s="913">
        <v>0</v>
      </c>
      <c r="L78" s="913">
        <v>191851</v>
      </c>
      <c r="M78" s="913">
        <v>0</v>
      </c>
      <c r="N78" s="913">
        <v>0</v>
      </c>
      <c r="O78" s="913">
        <v>0</v>
      </c>
      <c r="P78" s="913">
        <v>0</v>
      </c>
      <c r="Q78" s="913">
        <v>0</v>
      </c>
      <c r="R78" s="913">
        <v>0</v>
      </c>
      <c r="S78" s="913">
        <v>0</v>
      </c>
      <c r="T78" s="913">
        <f t="shared" si="16"/>
        <v>321563</v>
      </c>
    </row>
    <row r="79" spans="1:22" hidden="1" x14ac:dyDescent="0.2">
      <c r="A79" s="2" t="s">
        <v>10</v>
      </c>
      <c r="B79" t="s">
        <v>138</v>
      </c>
      <c r="C79" s="916">
        <v>0</v>
      </c>
      <c r="D79" s="916">
        <v>0</v>
      </c>
      <c r="E79" s="916">
        <v>0</v>
      </c>
      <c r="F79" s="913">
        <v>0</v>
      </c>
      <c r="G79" s="913">
        <v>0</v>
      </c>
      <c r="H79" s="913">
        <v>0</v>
      </c>
      <c r="I79" s="913">
        <v>0</v>
      </c>
      <c r="J79" s="913">
        <v>0</v>
      </c>
      <c r="K79" s="913">
        <v>0</v>
      </c>
      <c r="L79" s="913">
        <v>0</v>
      </c>
      <c r="M79" s="913">
        <v>0</v>
      </c>
      <c r="N79" s="913">
        <v>0</v>
      </c>
      <c r="O79" s="913">
        <v>0</v>
      </c>
      <c r="P79" s="913">
        <v>0</v>
      </c>
      <c r="Q79" s="913">
        <v>0</v>
      </c>
      <c r="R79" s="913">
        <v>0</v>
      </c>
      <c r="S79" s="913">
        <v>0</v>
      </c>
      <c r="T79" s="913">
        <f t="shared" si="16"/>
        <v>0</v>
      </c>
    </row>
    <row r="80" spans="1:22" x14ac:dyDescent="0.2">
      <c r="A80" s="2">
        <v>300</v>
      </c>
      <c r="B80" t="s">
        <v>139</v>
      </c>
      <c r="C80" s="916">
        <v>2952851</v>
      </c>
      <c r="D80" s="916">
        <v>0</v>
      </c>
      <c r="E80" s="916">
        <v>0</v>
      </c>
      <c r="F80" s="913">
        <v>0</v>
      </c>
      <c r="G80" s="913">
        <f>8443+79325</f>
        <v>87768</v>
      </c>
      <c r="H80" s="913">
        <v>305904</v>
      </c>
      <c r="I80" s="913">
        <v>0</v>
      </c>
      <c r="J80" s="913">
        <v>0</v>
      </c>
      <c r="K80" s="913">
        <v>0</v>
      </c>
      <c r="L80" s="913">
        <v>0</v>
      </c>
      <c r="M80" s="913">
        <v>0</v>
      </c>
      <c r="N80" s="913">
        <v>8000</v>
      </c>
      <c r="O80" s="913">
        <v>0</v>
      </c>
      <c r="P80" s="913">
        <v>0</v>
      </c>
      <c r="Q80" s="913">
        <v>0</v>
      </c>
      <c r="R80" s="913">
        <v>0</v>
      </c>
      <c r="S80" s="913">
        <v>0</v>
      </c>
      <c r="T80" s="913">
        <f t="shared" si="16"/>
        <v>3354523</v>
      </c>
    </row>
    <row r="81" spans="1:20" hidden="1" x14ac:dyDescent="0.2">
      <c r="A81" s="2">
        <v>400</v>
      </c>
      <c r="B81" t="s">
        <v>140</v>
      </c>
      <c r="C81" s="916">
        <v>2080412</v>
      </c>
      <c r="D81" s="916">
        <v>0</v>
      </c>
      <c r="E81" s="916">
        <v>0</v>
      </c>
      <c r="F81" s="913">
        <v>0</v>
      </c>
      <c r="G81" s="913">
        <f>385033+6702+141135</f>
        <v>532870</v>
      </c>
      <c r="H81" s="913">
        <f>415017+32866</f>
        <v>447883</v>
      </c>
      <c r="I81" s="913">
        <v>0</v>
      </c>
      <c r="J81" s="913">
        <v>0</v>
      </c>
      <c r="K81" s="913">
        <v>0</v>
      </c>
      <c r="L81" s="913">
        <v>0</v>
      </c>
      <c r="M81" s="913">
        <v>0</v>
      </c>
      <c r="N81" s="913">
        <v>0</v>
      </c>
      <c r="O81" s="913">
        <v>0</v>
      </c>
      <c r="P81" s="913">
        <v>0</v>
      </c>
      <c r="Q81" s="913">
        <v>0</v>
      </c>
      <c r="R81" s="913">
        <v>0</v>
      </c>
      <c r="S81" s="913">
        <v>0</v>
      </c>
      <c r="T81" s="913">
        <f t="shared" si="16"/>
        <v>3061165</v>
      </c>
    </row>
    <row r="82" spans="1:20" hidden="1" x14ac:dyDescent="0.2">
      <c r="A82" s="2" t="s">
        <v>10</v>
      </c>
      <c r="B82" t="s">
        <v>141</v>
      </c>
      <c r="C82" s="916">
        <v>0</v>
      </c>
      <c r="D82" s="916">
        <v>0</v>
      </c>
      <c r="E82" s="916">
        <v>0</v>
      </c>
      <c r="F82" s="913">
        <v>0</v>
      </c>
      <c r="G82" s="913">
        <v>0</v>
      </c>
      <c r="H82" s="913">
        <v>0</v>
      </c>
      <c r="I82" s="913">
        <v>0</v>
      </c>
      <c r="J82" s="913">
        <v>0</v>
      </c>
      <c r="K82" s="913">
        <v>0</v>
      </c>
      <c r="L82" s="913">
        <v>0</v>
      </c>
      <c r="M82" s="913">
        <v>0</v>
      </c>
      <c r="N82" s="913">
        <v>0</v>
      </c>
      <c r="O82" s="913">
        <v>0</v>
      </c>
      <c r="P82" s="913">
        <v>0</v>
      </c>
      <c r="Q82" s="913">
        <v>0</v>
      </c>
      <c r="R82" s="913">
        <v>0</v>
      </c>
      <c r="S82" s="913">
        <v>0</v>
      </c>
      <c r="T82" s="913">
        <f t="shared" si="16"/>
        <v>0</v>
      </c>
    </row>
    <row r="83" spans="1:20" hidden="1" x14ac:dyDescent="0.2">
      <c r="A83" s="2" t="s">
        <v>10</v>
      </c>
      <c r="B83" t="s">
        <v>142</v>
      </c>
      <c r="C83" s="916">
        <v>0</v>
      </c>
      <c r="D83" s="916">
        <v>0</v>
      </c>
      <c r="E83" s="916">
        <v>0</v>
      </c>
      <c r="F83" s="913">
        <v>0</v>
      </c>
      <c r="G83" s="913">
        <v>0</v>
      </c>
      <c r="H83" s="913">
        <v>0</v>
      </c>
      <c r="I83" s="913">
        <v>0</v>
      </c>
      <c r="J83" s="913">
        <v>0</v>
      </c>
      <c r="K83" s="913">
        <v>0</v>
      </c>
      <c r="L83" s="913">
        <v>0</v>
      </c>
      <c r="M83" s="913">
        <v>0</v>
      </c>
      <c r="N83" s="913">
        <v>0</v>
      </c>
      <c r="O83" s="913">
        <v>0</v>
      </c>
      <c r="P83" s="913">
        <v>0</v>
      </c>
      <c r="Q83" s="913">
        <v>0</v>
      </c>
      <c r="R83" s="913">
        <v>0</v>
      </c>
      <c r="S83" s="913">
        <v>0</v>
      </c>
      <c r="T83" s="913">
        <f t="shared" si="16"/>
        <v>0</v>
      </c>
    </row>
    <row r="84" spans="1:20" hidden="1" x14ac:dyDescent="0.2">
      <c r="A84" s="2">
        <v>430</v>
      </c>
      <c r="B84" s="3" t="s">
        <v>548</v>
      </c>
      <c r="C84" s="916">
        <v>0</v>
      </c>
      <c r="D84" s="916">
        <v>0</v>
      </c>
      <c r="E84" s="916">
        <v>0</v>
      </c>
      <c r="F84" s="913">
        <v>0</v>
      </c>
      <c r="G84" s="913">
        <v>0</v>
      </c>
      <c r="H84" s="913">
        <v>0</v>
      </c>
      <c r="I84" s="913">
        <v>0</v>
      </c>
      <c r="J84" s="913">
        <v>0</v>
      </c>
      <c r="K84" s="913">
        <v>0</v>
      </c>
      <c r="L84" s="913">
        <v>0</v>
      </c>
      <c r="M84" s="913">
        <v>0</v>
      </c>
      <c r="N84" s="913">
        <v>0</v>
      </c>
      <c r="O84" s="913">
        <v>0</v>
      </c>
      <c r="P84" s="913">
        <v>0</v>
      </c>
      <c r="Q84" s="913">
        <v>0</v>
      </c>
      <c r="R84" s="913">
        <v>0</v>
      </c>
      <c r="S84" s="913">
        <v>0</v>
      </c>
      <c r="T84" s="913">
        <f t="shared" si="16"/>
        <v>0</v>
      </c>
    </row>
    <row r="85" spans="1:20" hidden="1" x14ac:dyDescent="0.2">
      <c r="A85" s="2">
        <v>440</v>
      </c>
      <c r="B85" t="s">
        <v>143</v>
      </c>
      <c r="C85" s="916">
        <v>0</v>
      </c>
      <c r="D85" s="916">
        <v>0</v>
      </c>
      <c r="E85" s="916">
        <v>0</v>
      </c>
      <c r="F85" s="913">
        <v>0</v>
      </c>
      <c r="G85" s="913">
        <v>0</v>
      </c>
      <c r="H85" s="913">
        <v>0</v>
      </c>
      <c r="I85" s="913">
        <v>0</v>
      </c>
      <c r="J85" s="913">
        <v>0</v>
      </c>
      <c r="K85" s="913">
        <v>0</v>
      </c>
      <c r="L85" s="913">
        <v>0</v>
      </c>
      <c r="M85" s="913">
        <v>0</v>
      </c>
      <c r="N85" s="913">
        <v>0</v>
      </c>
      <c r="O85" s="913">
        <v>0</v>
      </c>
      <c r="P85" s="913">
        <v>0</v>
      </c>
      <c r="Q85" s="913">
        <v>0</v>
      </c>
      <c r="R85" s="913">
        <v>0</v>
      </c>
      <c r="S85" s="913">
        <v>0</v>
      </c>
      <c r="T85" s="913">
        <f t="shared" si="16"/>
        <v>0</v>
      </c>
    </row>
    <row r="86" spans="1:20" hidden="1" x14ac:dyDescent="0.2">
      <c r="A86" s="2">
        <v>500</v>
      </c>
      <c r="B86" t="s">
        <v>144</v>
      </c>
      <c r="C86" s="916">
        <v>0</v>
      </c>
      <c r="D86" s="916">
        <v>0</v>
      </c>
      <c r="E86" s="916">
        <v>0</v>
      </c>
      <c r="F86" s="913">
        <v>0</v>
      </c>
      <c r="G86" s="913">
        <v>0</v>
      </c>
      <c r="H86" s="913">
        <v>0</v>
      </c>
      <c r="I86" s="913">
        <v>0</v>
      </c>
      <c r="J86" s="913">
        <v>0</v>
      </c>
      <c r="K86" s="913">
        <v>0</v>
      </c>
      <c r="L86" s="913">
        <v>0</v>
      </c>
      <c r="M86" s="913">
        <v>0</v>
      </c>
      <c r="N86" s="913">
        <v>0</v>
      </c>
      <c r="O86" s="913">
        <v>0</v>
      </c>
      <c r="P86" s="913">
        <v>0</v>
      </c>
      <c r="Q86" s="913">
        <v>0</v>
      </c>
      <c r="R86" s="913">
        <v>0</v>
      </c>
      <c r="S86" s="913">
        <v>0</v>
      </c>
      <c r="T86" s="913">
        <f t="shared" si="16"/>
        <v>0</v>
      </c>
    </row>
    <row r="87" spans="1:20" x14ac:dyDescent="0.2">
      <c r="A87" s="2">
        <v>600</v>
      </c>
      <c r="B87" t="s">
        <v>145</v>
      </c>
      <c r="C87" s="916">
        <v>0</v>
      </c>
      <c r="D87" s="916">
        <v>0</v>
      </c>
      <c r="E87" s="916">
        <v>0</v>
      </c>
      <c r="F87" s="913">
        <v>0</v>
      </c>
      <c r="G87" s="913">
        <v>0</v>
      </c>
      <c r="H87" s="913">
        <v>0</v>
      </c>
      <c r="I87" s="913">
        <v>0</v>
      </c>
      <c r="J87" s="913">
        <v>0</v>
      </c>
      <c r="K87" s="913">
        <v>206027</v>
      </c>
      <c r="L87" s="913">
        <v>0</v>
      </c>
      <c r="M87" s="913">
        <v>0</v>
      </c>
      <c r="N87" s="913">
        <v>0</v>
      </c>
      <c r="O87" s="913">
        <v>0</v>
      </c>
      <c r="P87" s="913">
        <v>0</v>
      </c>
      <c r="Q87" s="913">
        <v>0</v>
      </c>
      <c r="R87" s="913">
        <v>0</v>
      </c>
      <c r="S87" s="913">
        <v>0</v>
      </c>
      <c r="T87" s="913">
        <f t="shared" si="16"/>
        <v>206027</v>
      </c>
    </row>
    <row r="88" spans="1:20" x14ac:dyDescent="0.2">
      <c r="A88" s="2">
        <v>800</v>
      </c>
      <c r="B88" t="s">
        <v>146</v>
      </c>
      <c r="C88" s="916">
        <v>0</v>
      </c>
      <c r="D88" s="916">
        <v>0</v>
      </c>
      <c r="E88" s="916">
        <v>0</v>
      </c>
      <c r="F88" s="913">
        <v>0</v>
      </c>
      <c r="G88" s="913">
        <v>138387</v>
      </c>
      <c r="H88" s="913">
        <v>5000</v>
      </c>
      <c r="I88" s="913">
        <v>0</v>
      </c>
      <c r="J88" s="913">
        <v>0</v>
      </c>
      <c r="K88" s="913">
        <v>0</v>
      </c>
      <c r="L88" s="913">
        <v>0</v>
      </c>
      <c r="M88" s="913">
        <v>0</v>
      </c>
      <c r="N88" s="913">
        <v>0</v>
      </c>
      <c r="O88" s="913">
        <v>0</v>
      </c>
      <c r="P88" s="913">
        <v>0</v>
      </c>
      <c r="Q88" s="913">
        <v>0</v>
      </c>
      <c r="R88" s="913">
        <v>0</v>
      </c>
      <c r="S88" s="913">
        <v>0</v>
      </c>
      <c r="T88" s="913">
        <f t="shared" si="16"/>
        <v>143387</v>
      </c>
    </row>
    <row r="89" spans="1:20" x14ac:dyDescent="0.2">
      <c r="A89" s="2">
        <v>910</v>
      </c>
      <c r="B89" t="s">
        <v>147</v>
      </c>
      <c r="C89" s="916">
        <f>236880+80000</f>
        <v>316880</v>
      </c>
      <c r="D89" s="916">
        <v>0</v>
      </c>
      <c r="E89" s="916">
        <v>0</v>
      </c>
      <c r="F89" s="913">
        <v>0</v>
      </c>
      <c r="G89" s="913">
        <v>0</v>
      </c>
      <c r="H89" s="913">
        <v>0</v>
      </c>
      <c r="I89" s="913">
        <v>0</v>
      </c>
      <c r="J89" s="913">
        <v>0</v>
      </c>
      <c r="K89" s="913">
        <v>0</v>
      </c>
      <c r="L89" s="913">
        <v>0</v>
      </c>
      <c r="M89" s="913">
        <v>0</v>
      </c>
      <c r="N89" s="913">
        <v>0</v>
      </c>
      <c r="O89" s="913">
        <v>0</v>
      </c>
      <c r="P89" s="913">
        <v>0</v>
      </c>
      <c r="Q89" s="913">
        <v>0</v>
      </c>
      <c r="R89" s="913">
        <v>0</v>
      </c>
      <c r="S89" s="913">
        <v>0</v>
      </c>
      <c r="T89" s="913">
        <f t="shared" si="16"/>
        <v>316880</v>
      </c>
    </row>
    <row r="90" spans="1:20" x14ac:dyDescent="0.2">
      <c r="A90" s="2">
        <v>920</v>
      </c>
      <c r="B90" t="s">
        <v>148</v>
      </c>
      <c r="C90" s="916">
        <f>1127377+250000+181165</f>
        <v>1558542</v>
      </c>
      <c r="D90" s="916">
        <v>0</v>
      </c>
      <c r="E90" s="916">
        <v>0</v>
      </c>
      <c r="F90" s="913">
        <v>0</v>
      </c>
      <c r="G90" s="913">
        <v>0</v>
      </c>
      <c r="H90" s="913">
        <v>0</v>
      </c>
      <c r="I90" s="913">
        <v>0</v>
      </c>
      <c r="J90" s="913">
        <v>0</v>
      </c>
      <c r="K90" s="913">
        <v>0</v>
      </c>
      <c r="L90" s="913">
        <v>0</v>
      </c>
      <c r="M90" s="913">
        <v>0</v>
      </c>
      <c r="N90" s="913">
        <v>0</v>
      </c>
      <c r="O90" s="913">
        <v>0</v>
      </c>
      <c r="P90" s="913">
        <v>0</v>
      </c>
      <c r="Q90" s="913">
        <v>0</v>
      </c>
      <c r="R90" s="913">
        <v>0</v>
      </c>
      <c r="S90" s="913">
        <v>0</v>
      </c>
      <c r="T90" s="913">
        <f t="shared" si="16"/>
        <v>1558542</v>
      </c>
    </row>
    <row r="91" spans="1:20" x14ac:dyDescent="0.2">
      <c r="C91" s="916"/>
      <c r="D91" s="916"/>
      <c r="E91" s="916"/>
      <c r="F91" s="913"/>
      <c r="G91" s="913"/>
      <c r="H91" s="913"/>
      <c r="I91" s="913"/>
      <c r="J91" s="913"/>
      <c r="K91" s="913"/>
      <c r="L91" s="913"/>
      <c r="M91" s="913"/>
      <c r="N91" s="913"/>
      <c r="O91" s="913"/>
      <c r="P91" s="913"/>
      <c r="Q91" s="913"/>
      <c r="R91" s="913"/>
      <c r="S91" s="913"/>
      <c r="T91" s="913"/>
    </row>
    <row r="92" spans="1:20" x14ac:dyDescent="0.2">
      <c r="A92" s="2" t="s">
        <v>149</v>
      </c>
      <c r="B92" s="2" t="s">
        <v>150</v>
      </c>
      <c r="C92" s="916"/>
      <c r="D92" s="916"/>
      <c r="E92" s="916"/>
      <c r="F92" s="913"/>
      <c r="G92" s="913"/>
      <c r="H92" s="913"/>
      <c r="I92" s="913"/>
      <c r="J92" s="913"/>
      <c r="K92" s="913"/>
      <c r="L92" s="913"/>
      <c r="M92" s="913"/>
      <c r="N92" s="913"/>
      <c r="O92" s="913"/>
      <c r="P92" s="913"/>
      <c r="Q92" s="913"/>
      <c r="R92" s="913"/>
      <c r="S92" s="913"/>
      <c r="T92" s="913"/>
    </row>
    <row r="93" spans="1:20" x14ac:dyDescent="0.2">
      <c r="A93" s="2">
        <v>2100</v>
      </c>
      <c r="B93" t="s">
        <v>151</v>
      </c>
      <c r="C93" s="916">
        <v>7733473</v>
      </c>
      <c r="D93" s="916">
        <v>0</v>
      </c>
      <c r="E93" s="916">
        <v>0</v>
      </c>
      <c r="F93" s="913">
        <v>0</v>
      </c>
      <c r="G93" s="913">
        <v>32840</v>
      </c>
      <c r="H93" s="913">
        <v>65000</v>
      </c>
      <c r="I93" s="913">
        <v>0</v>
      </c>
      <c r="J93" s="913">
        <v>0</v>
      </c>
      <c r="K93" s="913">
        <v>0</v>
      </c>
      <c r="L93" s="913">
        <v>0</v>
      </c>
      <c r="M93" s="913">
        <v>0</v>
      </c>
      <c r="N93" s="913">
        <v>0</v>
      </c>
      <c r="O93" s="913">
        <v>0</v>
      </c>
      <c r="P93" s="913">
        <v>0</v>
      </c>
      <c r="Q93" s="913">
        <v>0</v>
      </c>
      <c r="R93" s="913">
        <v>0</v>
      </c>
      <c r="S93" s="913">
        <v>0</v>
      </c>
      <c r="T93" s="913">
        <f t="shared" si="16"/>
        <v>7831313</v>
      </c>
    </row>
    <row r="94" spans="1:20" x14ac:dyDescent="0.2">
      <c r="A94" s="2">
        <v>2200</v>
      </c>
      <c r="B94" t="s">
        <v>152</v>
      </c>
      <c r="C94" s="916">
        <v>2470930</v>
      </c>
      <c r="D94" s="916">
        <v>0</v>
      </c>
      <c r="E94" s="916">
        <v>0</v>
      </c>
      <c r="F94" s="913">
        <v>0</v>
      </c>
      <c r="G94" s="913">
        <v>377954</v>
      </c>
      <c r="H94" s="913">
        <v>1245644</v>
      </c>
      <c r="I94" s="913">
        <v>0</v>
      </c>
      <c r="J94" s="913">
        <v>0</v>
      </c>
      <c r="K94" s="913">
        <v>0</v>
      </c>
      <c r="L94" s="913">
        <v>0</v>
      </c>
      <c r="M94" s="913">
        <v>0</v>
      </c>
      <c r="N94" s="913">
        <v>0</v>
      </c>
      <c r="O94" s="913">
        <v>0</v>
      </c>
      <c r="P94" s="913">
        <v>0</v>
      </c>
      <c r="Q94" s="913">
        <v>0</v>
      </c>
      <c r="R94" s="913">
        <v>0</v>
      </c>
      <c r="S94" s="913">
        <v>0</v>
      </c>
      <c r="T94" s="913">
        <f t="shared" si="16"/>
        <v>4094528</v>
      </c>
    </row>
    <row r="95" spans="1:20" x14ac:dyDescent="0.2">
      <c r="A95" s="2">
        <v>2300</v>
      </c>
      <c r="B95" t="s">
        <v>153</v>
      </c>
      <c r="C95" s="916">
        <v>1195930</v>
      </c>
      <c r="D95" s="916">
        <v>0</v>
      </c>
      <c r="E95" s="916">
        <v>0</v>
      </c>
      <c r="F95" s="913">
        <v>0</v>
      </c>
      <c r="G95" s="913">
        <v>0</v>
      </c>
      <c r="H95" s="913">
        <v>0</v>
      </c>
      <c r="I95" s="913">
        <v>0</v>
      </c>
      <c r="J95" s="913">
        <v>0</v>
      </c>
      <c r="K95" s="913">
        <v>0</v>
      </c>
      <c r="L95" s="913">
        <v>0</v>
      </c>
      <c r="M95" s="913">
        <v>4500</v>
      </c>
      <c r="N95" s="913">
        <v>0</v>
      </c>
      <c r="O95" s="913">
        <v>0</v>
      </c>
      <c r="P95" s="913">
        <v>0</v>
      </c>
      <c r="Q95" s="913">
        <v>0</v>
      </c>
      <c r="R95" s="913">
        <v>0</v>
      </c>
      <c r="S95" s="913">
        <v>0</v>
      </c>
      <c r="T95" s="913">
        <f t="shared" si="16"/>
        <v>1200430</v>
      </c>
    </row>
    <row r="96" spans="1:20" x14ac:dyDescent="0.2">
      <c r="A96" s="2">
        <v>2400</v>
      </c>
      <c r="B96" t="s">
        <v>154</v>
      </c>
      <c r="C96" s="916">
        <v>8230070</v>
      </c>
      <c r="D96" s="916">
        <v>0</v>
      </c>
      <c r="E96" s="916">
        <v>0</v>
      </c>
      <c r="F96" s="913">
        <v>0</v>
      </c>
      <c r="G96" s="913">
        <v>0</v>
      </c>
      <c r="H96" s="913">
        <v>0</v>
      </c>
      <c r="I96" s="913">
        <v>0</v>
      </c>
      <c r="J96" s="913">
        <v>0</v>
      </c>
      <c r="K96" s="913">
        <v>0</v>
      </c>
      <c r="L96" s="913">
        <v>0</v>
      </c>
      <c r="M96" s="913">
        <v>0</v>
      </c>
      <c r="N96" s="913">
        <v>0</v>
      </c>
      <c r="O96" s="913">
        <v>0</v>
      </c>
      <c r="P96" s="913">
        <v>0</v>
      </c>
      <c r="Q96" s="913">
        <v>0</v>
      </c>
      <c r="R96" s="913">
        <v>0</v>
      </c>
      <c r="S96" s="913">
        <v>0</v>
      </c>
      <c r="T96" s="913">
        <f t="shared" si="16"/>
        <v>8230070</v>
      </c>
    </row>
    <row r="97" spans="1:20" x14ac:dyDescent="0.2">
      <c r="A97" s="2">
        <v>2500</v>
      </c>
      <c r="B97" t="s">
        <v>155</v>
      </c>
      <c r="C97" s="916">
        <v>3170631</v>
      </c>
      <c r="D97" s="916">
        <v>0</v>
      </c>
      <c r="E97" s="916">
        <v>0</v>
      </c>
      <c r="F97" s="913">
        <v>0</v>
      </c>
      <c r="G97" s="913">
        <v>18314</v>
      </c>
      <c r="H97" s="913">
        <v>0</v>
      </c>
      <c r="I97" s="913">
        <v>0</v>
      </c>
      <c r="J97" s="913">
        <v>0</v>
      </c>
      <c r="K97" s="913">
        <v>0</v>
      </c>
      <c r="L97" s="913">
        <v>0</v>
      </c>
      <c r="M97" s="913">
        <v>0</v>
      </c>
      <c r="N97" s="913">
        <v>0</v>
      </c>
      <c r="O97" s="913">
        <v>0</v>
      </c>
      <c r="P97" s="913">
        <v>0</v>
      </c>
      <c r="Q97" s="913">
        <v>0</v>
      </c>
      <c r="R97" s="913">
        <v>0</v>
      </c>
      <c r="S97" s="913">
        <v>0</v>
      </c>
      <c r="T97" s="913">
        <f t="shared" si="16"/>
        <v>3188945</v>
      </c>
    </row>
    <row r="98" spans="1:20" x14ac:dyDescent="0.2">
      <c r="A98" s="2">
        <v>2600</v>
      </c>
      <c r="B98" t="s">
        <v>156</v>
      </c>
      <c r="C98" s="916">
        <v>14730243</v>
      </c>
      <c r="D98" s="916">
        <v>598772</v>
      </c>
      <c r="E98" s="916">
        <v>2500</v>
      </c>
      <c r="F98" s="913">
        <v>0</v>
      </c>
      <c r="G98" s="913">
        <v>0</v>
      </c>
      <c r="H98" s="913">
        <v>772986</v>
      </c>
      <c r="I98" s="913">
        <v>0</v>
      </c>
      <c r="J98" s="913">
        <v>0</v>
      </c>
      <c r="K98" s="913">
        <v>0</v>
      </c>
      <c r="L98" s="913">
        <v>0</v>
      </c>
      <c r="M98" s="913">
        <v>0</v>
      </c>
      <c r="N98" s="913">
        <v>586481</v>
      </c>
      <c r="O98" s="913">
        <v>0</v>
      </c>
      <c r="P98" s="913">
        <v>0</v>
      </c>
      <c r="Q98" s="913">
        <v>0</v>
      </c>
      <c r="R98" s="913">
        <v>0</v>
      </c>
      <c r="S98" s="913">
        <v>0</v>
      </c>
      <c r="T98" s="913">
        <f t="shared" si="16"/>
        <v>16690982</v>
      </c>
    </row>
    <row r="99" spans="1:20" x14ac:dyDescent="0.2">
      <c r="A99" s="2">
        <v>2700</v>
      </c>
      <c r="B99" t="s">
        <v>157</v>
      </c>
      <c r="C99" s="916">
        <v>3260041</v>
      </c>
      <c r="D99" s="916">
        <v>0</v>
      </c>
      <c r="E99" s="916">
        <v>0</v>
      </c>
      <c r="F99" s="913">
        <v>0</v>
      </c>
      <c r="G99" s="913">
        <v>0</v>
      </c>
      <c r="H99" s="913">
        <v>20000</v>
      </c>
      <c r="I99" s="913">
        <v>0</v>
      </c>
      <c r="J99" s="913">
        <v>0</v>
      </c>
      <c r="K99" s="913">
        <v>0</v>
      </c>
      <c r="L99" s="913">
        <v>0</v>
      </c>
      <c r="M99" s="913">
        <v>0</v>
      </c>
      <c r="N99" s="913">
        <v>0</v>
      </c>
      <c r="O99" s="913">
        <v>0</v>
      </c>
      <c r="P99" s="913">
        <v>0</v>
      </c>
      <c r="Q99" s="913">
        <v>0</v>
      </c>
      <c r="R99" s="913">
        <v>0</v>
      </c>
      <c r="S99" s="913">
        <v>0</v>
      </c>
      <c r="T99" s="913">
        <f t="shared" si="16"/>
        <v>3280041</v>
      </c>
    </row>
    <row r="100" spans="1:20" hidden="1" x14ac:dyDescent="0.2">
      <c r="A100" s="2">
        <v>2900</v>
      </c>
      <c r="B100" t="s">
        <v>158</v>
      </c>
      <c r="C100" s="916">
        <v>0</v>
      </c>
      <c r="D100" s="916">
        <v>0</v>
      </c>
      <c r="E100" s="916">
        <v>0</v>
      </c>
      <c r="F100" s="913">
        <v>0</v>
      </c>
      <c r="G100" s="913">
        <v>0</v>
      </c>
      <c r="H100" s="913">
        <v>0</v>
      </c>
      <c r="I100" s="913">
        <v>0</v>
      </c>
      <c r="J100" s="913">
        <v>0</v>
      </c>
      <c r="K100" s="913">
        <v>0</v>
      </c>
      <c r="L100" s="913">
        <v>0</v>
      </c>
      <c r="M100" s="913">
        <v>0</v>
      </c>
      <c r="N100" s="913">
        <v>0</v>
      </c>
      <c r="O100" s="913">
        <v>0</v>
      </c>
      <c r="P100" s="913">
        <v>0</v>
      </c>
      <c r="Q100" s="913">
        <v>0</v>
      </c>
      <c r="R100" s="913">
        <v>0</v>
      </c>
      <c r="S100" s="913">
        <v>0</v>
      </c>
      <c r="T100" s="913">
        <f t="shared" si="16"/>
        <v>0</v>
      </c>
    </row>
    <row r="101" spans="1:20" hidden="1" x14ac:dyDescent="0.2">
      <c r="A101" s="2">
        <v>3000</v>
      </c>
      <c r="B101" t="s">
        <v>159</v>
      </c>
      <c r="C101" s="916">
        <v>0</v>
      </c>
      <c r="D101" s="916">
        <v>0</v>
      </c>
      <c r="E101" s="916">
        <v>0</v>
      </c>
      <c r="F101" s="913">
        <v>0</v>
      </c>
      <c r="G101" s="913">
        <v>0</v>
      </c>
      <c r="H101" s="913">
        <v>0</v>
      </c>
      <c r="I101" s="913">
        <v>0</v>
      </c>
      <c r="J101" s="913">
        <v>0</v>
      </c>
      <c r="K101" s="913">
        <v>0</v>
      </c>
      <c r="L101" s="913">
        <v>0</v>
      </c>
      <c r="M101" s="913">
        <v>0</v>
      </c>
      <c r="N101" s="913">
        <v>0</v>
      </c>
      <c r="O101" s="913">
        <v>0</v>
      </c>
      <c r="P101" s="913">
        <v>0</v>
      </c>
      <c r="Q101" s="913">
        <v>0</v>
      </c>
      <c r="R101" s="913">
        <v>0</v>
      </c>
      <c r="S101" s="913">
        <v>0</v>
      </c>
      <c r="T101" s="913">
        <f t="shared" si="16"/>
        <v>0</v>
      </c>
    </row>
    <row r="102" spans="1:20" x14ac:dyDescent="0.2">
      <c r="A102" s="2">
        <v>3100</v>
      </c>
      <c r="B102" t="s">
        <v>160</v>
      </c>
      <c r="C102" s="916">
        <v>0</v>
      </c>
      <c r="D102" s="916">
        <v>0</v>
      </c>
      <c r="E102" s="916">
        <v>0</v>
      </c>
      <c r="F102" s="913">
        <v>0</v>
      </c>
      <c r="G102" s="913">
        <v>0</v>
      </c>
      <c r="H102" s="913">
        <v>0</v>
      </c>
      <c r="I102" s="913">
        <v>0</v>
      </c>
      <c r="J102" s="913">
        <v>0</v>
      </c>
      <c r="K102" s="913">
        <v>0</v>
      </c>
      <c r="L102" s="913">
        <v>0</v>
      </c>
      <c r="M102" s="913">
        <v>0</v>
      </c>
      <c r="N102" s="913">
        <v>0</v>
      </c>
      <c r="O102" s="913">
        <v>3551678</v>
      </c>
      <c r="P102" s="913">
        <v>0</v>
      </c>
      <c r="Q102" s="913">
        <v>0</v>
      </c>
      <c r="R102" s="913">
        <v>0</v>
      </c>
      <c r="S102" s="913">
        <v>0</v>
      </c>
      <c r="T102" s="913">
        <f t="shared" si="16"/>
        <v>3551678</v>
      </c>
    </row>
    <row r="103" spans="1:20" hidden="1" x14ac:dyDescent="0.2">
      <c r="A103" s="2">
        <v>3200</v>
      </c>
      <c r="B103" t="s">
        <v>161</v>
      </c>
      <c r="C103" s="916">
        <v>0</v>
      </c>
      <c r="D103" s="916">
        <v>0</v>
      </c>
      <c r="E103" s="916">
        <v>0</v>
      </c>
      <c r="F103" s="913">
        <v>0</v>
      </c>
      <c r="G103" s="913">
        <v>0</v>
      </c>
      <c r="H103" s="913">
        <v>0</v>
      </c>
      <c r="I103" s="913">
        <v>0</v>
      </c>
      <c r="J103" s="913">
        <v>0</v>
      </c>
      <c r="K103" s="913">
        <v>0</v>
      </c>
      <c r="L103" s="913">
        <v>0</v>
      </c>
      <c r="M103" s="913">
        <v>0</v>
      </c>
      <c r="N103" s="913">
        <v>0</v>
      </c>
      <c r="O103" s="913">
        <v>0</v>
      </c>
      <c r="P103" s="913">
        <v>0</v>
      </c>
      <c r="Q103" s="913">
        <v>0</v>
      </c>
      <c r="R103" s="913">
        <v>0</v>
      </c>
      <c r="S103" s="913">
        <v>0</v>
      </c>
      <c r="T103" s="913">
        <f t="shared" si="16"/>
        <v>0</v>
      </c>
    </row>
    <row r="104" spans="1:20" x14ac:dyDescent="0.2">
      <c r="A104" s="2">
        <v>3300</v>
      </c>
      <c r="B104" t="s">
        <v>162</v>
      </c>
      <c r="C104" s="916">
        <v>12700</v>
      </c>
      <c r="D104" s="916">
        <v>0</v>
      </c>
      <c r="E104" s="916">
        <v>0</v>
      </c>
      <c r="F104" s="913">
        <v>0</v>
      </c>
      <c r="G104" s="913">
        <v>0</v>
      </c>
      <c r="H104" s="913">
        <v>0</v>
      </c>
      <c r="I104" s="913">
        <v>0</v>
      </c>
      <c r="J104" s="913">
        <v>0</v>
      </c>
      <c r="K104" s="913">
        <v>0</v>
      </c>
      <c r="L104" s="913">
        <v>0</v>
      </c>
      <c r="M104" s="913">
        <v>0</v>
      </c>
      <c r="N104" s="913">
        <v>0</v>
      </c>
      <c r="O104" s="913">
        <v>0</v>
      </c>
      <c r="P104" s="913">
        <v>0</v>
      </c>
      <c r="Q104" s="913">
        <v>0</v>
      </c>
      <c r="R104" s="913">
        <v>0</v>
      </c>
      <c r="S104" s="913">
        <v>0</v>
      </c>
      <c r="T104" s="913">
        <f t="shared" si="16"/>
        <v>12700</v>
      </c>
    </row>
    <row r="105" spans="1:20" hidden="1" x14ac:dyDescent="0.2">
      <c r="A105" s="2">
        <v>4000</v>
      </c>
      <c r="B105" t="s">
        <v>164</v>
      </c>
      <c r="C105" s="916">
        <v>0</v>
      </c>
      <c r="D105" s="916">
        <v>0</v>
      </c>
      <c r="E105" s="916">
        <v>0</v>
      </c>
      <c r="F105" s="913">
        <v>0</v>
      </c>
      <c r="G105" s="913">
        <v>0</v>
      </c>
      <c r="H105" s="913">
        <v>0</v>
      </c>
      <c r="I105" s="913">
        <v>0</v>
      </c>
      <c r="J105" s="913">
        <v>0</v>
      </c>
      <c r="K105" s="913">
        <v>0</v>
      </c>
      <c r="L105" s="913">
        <v>0</v>
      </c>
      <c r="M105" s="913">
        <v>0</v>
      </c>
      <c r="N105" s="913">
        <v>0</v>
      </c>
      <c r="O105" s="913">
        <v>0</v>
      </c>
      <c r="P105" s="913">
        <v>0</v>
      </c>
      <c r="Q105" s="913">
        <v>0</v>
      </c>
      <c r="R105" s="913">
        <v>0</v>
      </c>
      <c r="S105" s="913">
        <v>0</v>
      </c>
      <c r="T105" s="913">
        <f t="shared" si="16"/>
        <v>0</v>
      </c>
    </row>
    <row r="106" spans="1:20" x14ac:dyDescent="0.2">
      <c r="A106" s="2">
        <v>4100</v>
      </c>
      <c r="B106" t="s">
        <v>163</v>
      </c>
      <c r="C106" s="916">
        <v>0</v>
      </c>
      <c r="D106" s="916">
        <v>0</v>
      </c>
      <c r="E106" s="916">
        <v>51000</v>
      </c>
      <c r="F106" s="913">
        <v>0</v>
      </c>
      <c r="G106" s="913">
        <v>0</v>
      </c>
      <c r="H106" s="913">
        <v>0</v>
      </c>
      <c r="I106" s="913">
        <v>0</v>
      </c>
      <c r="J106" s="913">
        <v>0</v>
      </c>
      <c r="K106" s="913">
        <v>0</v>
      </c>
      <c r="L106" s="913">
        <v>0</v>
      </c>
      <c r="M106" s="913">
        <v>0</v>
      </c>
      <c r="N106" s="913">
        <v>0</v>
      </c>
      <c r="O106" s="913">
        <v>0</v>
      </c>
      <c r="P106" s="913">
        <v>0</v>
      </c>
      <c r="Q106" s="913">
        <v>0</v>
      </c>
      <c r="R106" s="913">
        <v>0</v>
      </c>
      <c r="S106" s="913">
        <v>0</v>
      </c>
      <c r="T106" s="913">
        <f t="shared" si="16"/>
        <v>51000</v>
      </c>
    </row>
    <row r="107" spans="1:20" x14ac:dyDescent="0.2">
      <c r="A107" s="2">
        <v>4200</v>
      </c>
      <c r="B107" t="s">
        <v>165</v>
      </c>
      <c r="C107" s="916">
        <v>0</v>
      </c>
      <c r="D107" s="916">
        <v>0</v>
      </c>
      <c r="E107" s="916">
        <v>255000</v>
      </c>
      <c r="F107" s="913">
        <v>0</v>
      </c>
      <c r="G107" s="913">
        <v>0</v>
      </c>
      <c r="H107" s="913">
        <v>0</v>
      </c>
      <c r="I107" s="913">
        <v>0</v>
      </c>
      <c r="J107" s="913">
        <v>0</v>
      </c>
      <c r="K107" s="913">
        <v>0</v>
      </c>
      <c r="L107" s="913">
        <v>0</v>
      </c>
      <c r="M107" s="913">
        <v>0</v>
      </c>
      <c r="N107" s="913">
        <v>0</v>
      </c>
      <c r="O107" s="913">
        <v>0</v>
      </c>
      <c r="P107" s="913">
        <v>0</v>
      </c>
      <c r="Q107" s="913">
        <v>0</v>
      </c>
      <c r="R107" s="913">
        <v>0</v>
      </c>
      <c r="S107" s="913">
        <v>0</v>
      </c>
      <c r="T107" s="913">
        <f t="shared" si="16"/>
        <v>255000</v>
      </c>
    </row>
    <row r="108" spans="1:20" hidden="1" x14ac:dyDescent="0.2">
      <c r="A108" s="2">
        <v>4300</v>
      </c>
      <c r="B108" t="s">
        <v>166</v>
      </c>
      <c r="C108" s="916">
        <v>0</v>
      </c>
      <c r="D108" s="916">
        <v>0</v>
      </c>
      <c r="E108" s="916">
        <v>0</v>
      </c>
      <c r="F108" s="913">
        <v>0</v>
      </c>
      <c r="G108" s="913">
        <v>0</v>
      </c>
      <c r="H108" s="913">
        <v>0</v>
      </c>
      <c r="I108" s="913">
        <v>0</v>
      </c>
      <c r="J108" s="913">
        <v>0</v>
      </c>
      <c r="K108" s="913">
        <v>0</v>
      </c>
      <c r="L108" s="913">
        <v>0</v>
      </c>
      <c r="M108" s="913">
        <v>0</v>
      </c>
      <c r="N108" s="913">
        <v>0</v>
      </c>
      <c r="O108" s="913">
        <v>0</v>
      </c>
      <c r="P108" s="913">
        <v>0</v>
      </c>
      <c r="Q108" s="913">
        <v>0</v>
      </c>
      <c r="R108" s="913">
        <v>0</v>
      </c>
      <c r="S108" s="913">
        <v>0</v>
      </c>
      <c r="T108" s="913">
        <f t="shared" si="16"/>
        <v>0</v>
      </c>
    </row>
    <row r="109" spans="1:20" hidden="1" x14ac:dyDescent="0.2">
      <c r="A109" s="2">
        <v>4400</v>
      </c>
      <c r="B109" t="s">
        <v>167</v>
      </c>
      <c r="C109" s="916">
        <v>0</v>
      </c>
      <c r="D109" s="916">
        <v>0</v>
      </c>
      <c r="E109" s="916">
        <v>0</v>
      </c>
      <c r="F109" s="913">
        <v>0</v>
      </c>
      <c r="G109" s="913">
        <v>0</v>
      </c>
      <c r="H109" s="913">
        <v>0</v>
      </c>
      <c r="I109" s="913">
        <v>0</v>
      </c>
      <c r="J109" s="913">
        <v>0</v>
      </c>
      <c r="K109" s="913">
        <v>0</v>
      </c>
      <c r="L109" s="913">
        <v>0</v>
      </c>
      <c r="M109" s="913">
        <v>0</v>
      </c>
      <c r="N109" s="913">
        <v>0</v>
      </c>
      <c r="O109" s="913">
        <v>0</v>
      </c>
      <c r="P109" s="913">
        <v>0</v>
      </c>
      <c r="Q109" s="913">
        <v>0</v>
      </c>
      <c r="R109" s="913">
        <v>0</v>
      </c>
      <c r="S109" s="913">
        <v>0</v>
      </c>
      <c r="T109" s="913">
        <f t="shared" si="16"/>
        <v>0</v>
      </c>
    </row>
    <row r="110" spans="1:20" x14ac:dyDescent="0.2">
      <c r="A110" s="2">
        <v>4500</v>
      </c>
      <c r="B110" t="s">
        <v>168</v>
      </c>
      <c r="C110" s="916">
        <v>0</v>
      </c>
      <c r="D110" s="916">
        <v>0</v>
      </c>
      <c r="E110" s="916">
        <v>20120000</v>
      </c>
      <c r="F110" s="913">
        <v>0</v>
      </c>
      <c r="G110" s="913">
        <v>0</v>
      </c>
      <c r="H110" s="913">
        <v>0</v>
      </c>
      <c r="I110" s="913">
        <v>0</v>
      </c>
      <c r="J110" s="913">
        <v>0</v>
      </c>
      <c r="K110" s="913">
        <v>0</v>
      </c>
      <c r="L110" s="913">
        <v>0</v>
      </c>
      <c r="M110" s="913">
        <v>0</v>
      </c>
      <c r="N110" s="913">
        <v>0</v>
      </c>
      <c r="O110" s="913">
        <v>0</v>
      </c>
      <c r="P110" s="913">
        <v>0</v>
      </c>
      <c r="Q110" s="913">
        <v>0</v>
      </c>
      <c r="R110" s="913">
        <v>0</v>
      </c>
      <c r="S110" s="913">
        <v>0</v>
      </c>
      <c r="T110" s="913">
        <f t="shared" si="16"/>
        <v>20120000</v>
      </c>
    </row>
    <row r="111" spans="1:20" x14ac:dyDescent="0.2">
      <c r="A111" s="2">
        <v>4600</v>
      </c>
      <c r="B111" t="s">
        <v>169</v>
      </c>
      <c r="C111" s="916">
        <v>0</v>
      </c>
      <c r="D111" s="916">
        <v>0</v>
      </c>
      <c r="E111" s="916">
        <v>866600</v>
      </c>
      <c r="F111" s="913">
        <v>0</v>
      </c>
      <c r="G111" s="913">
        <v>0</v>
      </c>
      <c r="H111" s="913">
        <v>0</v>
      </c>
      <c r="I111" s="913">
        <v>0</v>
      </c>
      <c r="J111" s="913">
        <v>0</v>
      </c>
      <c r="K111" s="913">
        <v>0</v>
      </c>
      <c r="L111" s="913">
        <v>0</v>
      </c>
      <c r="M111" s="913">
        <v>0</v>
      </c>
      <c r="N111" s="913">
        <v>272398</v>
      </c>
      <c r="O111" s="913">
        <v>0</v>
      </c>
      <c r="P111" s="913">
        <v>0</v>
      </c>
      <c r="Q111" s="913">
        <v>0</v>
      </c>
      <c r="R111" s="913">
        <v>0</v>
      </c>
      <c r="S111" s="913">
        <v>0</v>
      </c>
      <c r="T111" s="913">
        <f t="shared" si="16"/>
        <v>1138998</v>
      </c>
    </row>
    <row r="112" spans="1:20" x14ac:dyDescent="0.2">
      <c r="A112" s="2">
        <v>4700</v>
      </c>
      <c r="B112" t="s">
        <v>170</v>
      </c>
      <c r="C112" s="916">
        <v>0</v>
      </c>
      <c r="D112" s="916">
        <v>0</v>
      </c>
      <c r="E112" s="916">
        <v>7207500</v>
      </c>
      <c r="F112" s="913">
        <v>0</v>
      </c>
      <c r="G112" s="913">
        <v>0</v>
      </c>
      <c r="H112" s="913">
        <v>0</v>
      </c>
      <c r="I112" s="913">
        <v>0</v>
      </c>
      <c r="J112" s="913">
        <v>0</v>
      </c>
      <c r="K112" s="913">
        <v>0</v>
      </c>
      <c r="L112" s="913">
        <v>0</v>
      </c>
      <c r="M112" s="913">
        <v>0</v>
      </c>
      <c r="N112" s="913">
        <v>0</v>
      </c>
      <c r="O112" s="913">
        <v>0</v>
      </c>
      <c r="P112" s="913">
        <v>0</v>
      </c>
      <c r="Q112" s="913">
        <v>0</v>
      </c>
      <c r="R112" s="913">
        <v>0</v>
      </c>
      <c r="S112" s="913">
        <v>0</v>
      </c>
      <c r="T112" s="913">
        <f t="shared" si="16"/>
        <v>7207500</v>
      </c>
    </row>
    <row r="113" spans="1:20" x14ac:dyDescent="0.2">
      <c r="A113" s="2">
        <v>4900</v>
      </c>
      <c r="B113" t="s">
        <v>171</v>
      </c>
      <c r="C113" s="916">
        <v>0</v>
      </c>
      <c r="D113" s="916">
        <v>0</v>
      </c>
      <c r="E113" s="916">
        <v>253000</v>
      </c>
      <c r="F113" s="913">
        <v>0</v>
      </c>
      <c r="G113" s="913">
        <v>0</v>
      </c>
      <c r="H113" s="913">
        <v>0</v>
      </c>
      <c r="I113" s="913">
        <v>0</v>
      </c>
      <c r="J113" s="913">
        <v>0</v>
      </c>
      <c r="K113" s="913">
        <v>0</v>
      </c>
      <c r="L113" s="913">
        <v>0</v>
      </c>
      <c r="M113" s="913">
        <v>0</v>
      </c>
      <c r="N113" s="913">
        <v>0</v>
      </c>
      <c r="O113" s="913">
        <v>0</v>
      </c>
      <c r="P113" s="913">
        <v>0</v>
      </c>
      <c r="Q113" s="913">
        <v>0</v>
      </c>
      <c r="R113" s="913">
        <v>0</v>
      </c>
      <c r="S113" s="913">
        <v>0</v>
      </c>
      <c r="T113" s="913">
        <f t="shared" si="16"/>
        <v>253000</v>
      </c>
    </row>
    <row r="114" spans="1:20" hidden="1" x14ac:dyDescent="0.2">
      <c r="A114" s="2">
        <v>5000</v>
      </c>
      <c r="B114" t="s">
        <v>172</v>
      </c>
      <c r="C114" s="916">
        <v>0</v>
      </c>
      <c r="D114" s="916">
        <v>0</v>
      </c>
      <c r="E114" s="916">
        <v>0</v>
      </c>
      <c r="F114" s="913">
        <v>0</v>
      </c>
      <c r="G114" s="913">
        <v>0</v>
      </c>
      <c r="H114" s="913">
        <v>0</v>
      </c>
      <c r="I114" s="913">
        <v>0</v>
      </c>
      <c r="J114" s="913">
        <v>0</v>
      </c>
      <c r="K114" s="913">
        <v>0</v>
      </c>
      <c r="L114" s="913">
        <v>0</v>
      </c>
      <c r="M114" s="913">
        <v>0</v>
      </c>
      <c r="N114" s="913">
        <v>0</v>
      </c>
      <c r="O114" s="913">
        <v>0</v>
      </c>
      <c r="P114" s="913">
        <v>0</v>
      </c>
      <c r="Q114" s="913">
        <v>0</v>
      </c>
      <c r="R114" s="913">
        <v>0</v>
      </c>
      <c r="S114" s="913">
        <v>0</v>
      </c>
      <c r="T114" s="913">
        <f t="shared" si="16"/>
        <v>0</v>
      </c>
    </row>
    <row r="115" spans="1:20" x14ac:dyDescent="0.2">
      <c r="A115" s="2">
        <v>5000</v>
      </c>
      <c r="B115" t="s">
        <v>173</v>
      </c>
      <c r="C115" s="916">
        <v>607363</v>
      </c>
      <c r="D115" s="916">
        <v>0</v>
      </c>
      <c r="E115" s="916">
        <v>0</v>
      </c>
      <c r="F115" s="913">
        <v>0</v>
      </c>
      <c r="G115" s="913">
        <v>0</v>
      </c>
      <c r="H115" s="913">
        <v>0</v>
      </c>
      <c r="I115" s="913">
        <v>0</v>
      </c>
      <c r="J115" s="913">
        <v>0</v>
      </c>
      <c r="K115" s="913">
        <v>0</v>
      </c>
      <c r="L115" s="913">
        <v>0</v>
      </c>
      <c r="M115" s="913">
        <v>0</v>
      </c>
      <c r="N115" s="913">
        <v>0</v>
      </c>
      <c r="O115" s="913">
        <v>0</v>
      </c>
      <c r="P115" s="913">
        <v>0</v>
      </c>
      <c r="Q115" s="913">
        <v>0</v>
      </c>
      <c r="R115" s="913">
        <v>0</v>
      </c>
      <c r="S115" s="913">
        <v>0</v>
      </c>
      <c r="T115" s="913">
        <f t="shared" si="16"/>
        <v>607363</v>
      </c>
    </row>
    <row r="116" spans="1:20" hidden="1" x14ac:dyDescent="0.2">
      <c r="A116" s="2">
        <v>6100</v>
      </c>
      <c r="B116" t="s">
        <v>174</v>
      </c>
      <c r="C116" s="916">
        <v>0</v>
      </c>
      <c r="D116" s="916">
        <v>0</v>
      </c>
      <c r="E116" s="916">
        <v>0</v>
      </c>
      <c r="F116" s="913">
        <v>0</v>
      </c>
      <c r="G116" s="913">
        <v>0</v>
      </c>
      <c r="H116" s="913">
        <v>0</v>
      </c>
      <c r="I116" s="913">
        <v>0</v>
      </c>
      <c r="J116" s="913">
        <v>0</v>
      </c>
      <c r="K116" s="913">
        <v>0</v>
      </c>
      <c r="L116" s="913">
        <v>0</v>
      </c>
      <c r="M116" s="913">
        <v>0</v>
      </c>
      <c r="N116" s="913">
        <v>0</v>
      </c>
      <c r="O116" s="913">
        <v>0</v>
      </c>
      <c r="P116" s="913">
        <v>0</v>
      </c>
      <c r="Q116" s="913">
        <v>0</v>
      </c>
      <c r="R116" s="913">
        <v>0</v>
      </c>
      <c r="S116" s="913">
        <v>0</v>
      </c>
      <c r="T116" s="913">
        <f t="shared" si="16"/>
        <v>0</v>
      </c>
    </row>
    <row r="117" spans="1:20" x14ac:dyDescent="0.2">
      <c r="A117" s="2">
        <v>6200</v>
      </c>
      <c r="B117" t="s">
        <v>175</v>
      </c>
      <c r="C117" s="916">
        <v>7786484</v>
      </c>
      <c r="D117" s="916">
        <v>0</v>
      </c>
      <c r="E117" s="916">
        <v>0</v>
      </c>
      <c r="F117" s="913">
        <v>0</v>
      </c>
      <c r="G117" s="913">
        <v>0</v>
      </c>
      <c r="H117" s="913">
        <v>0</v>
      </c>
      <c r="I117" s="913">
        <v>0</v>
      </c>
      <c r="J117" s="913">
        <v>0</v>
      </c>
      <c r="K117" s="913">
        <v>0</v>
      </c>
      <c r="L117" s="913">
        <v>0</v>
      </c>
      <c r="M117" s="913">
        <v>0</v>
      </c>
      <c r="N117" s="913">
        <v>0</v>
      </c>
      <c r="O117" s="913">
        <v>0</v>
      </c>
      <c r="P117" s="913">
        <v>0</v>
      </c>
      <c r="Q117" s="913">
        <v>0</v>
      </c>
      <c r="R117" s="913">
        <v>0</v>
      </c>
      <c r="S117" s="913">
        <v>0</v>
      </c>
      <c r="T117" s="913">
        <f t="shared" si="16"/>
        <v>7786484</v>
      </c>
    </row>
    <row r="118" spans="1:20" x14ac:dyDescent="0.2">
      <c r="A118" s="2">
        <v>6300</v>
      </c>
      <c r="B118" t="s">
        <v>176</v>
      </c>
      <c r="C118" s="916">
        <v>50000</v>
      </c>
      <c r="D118" s="916">
        <v>0</v>
      </c>
      <c r="E118" s="916">
        <v>0</v>
      </c>
      <c r="F118" s="913">
        <v>0</v>
      </c>
      <c r="G118" s="913">
        <v>0</v>
      </c>
      <c r="H118" s="913">
        <v>0</v>
      </c>
      <c r="I118" s="913">
        <v>0</v>
      </c>
      <c r="J118" s="913">
        <v>0</v>
      </c>
      <c r="K118" s="913">
        <v>0</v>
      </c>
      <c r="L118" s="913">
        <v>0</v>
      </c>
      <c r="M118" s="913">
        <v>0</v>
      </c>
      <c r="N118" s="913">
        <v>0</v>
      </c>
      <c r="O118" s="913">
        <v>0</v>
      </c>
      <c r="P118" s="913">
        <v>0</v>
      </c>
      <c r="Q118" s="913">
        <v>0</v>
      </c>
      <c r="R118" s="913">
        <v>0</v>
      </c>
      <c r="S118" s="913">
        <v>0</v>
      </c>
      <c r="T118" s="913">
        <f t="shared" si="16"/>
        <v>50000</v>
      </c>
    </row>
    <row r="119" spans="1:20" x14ac:dyDescent="0.2">
      <c r="A119" s="2">
        <v>8000</v>
      </c>
      <c r="B119" t="s">
        <v>177</v>
      </c>
      <c r="C119" s="916">
        <v>11628852</v>
      </c>
      <c r="D119" s="916">
        <v>0</v>
      </c>
      <c r="E119" s="916">
        <v>4064143</v>
      </c>
      <c r="F119" s="913">
        <v>43877</v>
      </c>
      <c r="G119" s="913">
        <v>0</v>
      </c>
      <c r="H119" s="913">
        <v>0</v>
      </c>
      <c r="I119" s="913">
        <v>0</v>
      </c>
      <c r="J119" s="913">
        <v>0</v>
      </c>
      <c r="K119" s="913">
        <v>0</v>
      </c>
      <c r="L119" s="913">
        <v>0</v>
      </c>
      <c r="M119" s="913">
        <v>3657</v>
      </c>
      <c r="N119" s="913">
        <v>335731</v>
      </c>
      <c r="O119" s="913">
        <v>0</v>
      </c>
      <c r="P119" s="913">
        <v>0</v>
      </c>
      <c r="Q119" s="913">
        <v>129522</v>
      </c>
      <c r="R119" s="913">
        <v>221080</v>
      </c>
      <c r="S119" s="913">
        <v>0</v>
      </c>
      <c r="T119" s="913">
        <f t="shared" si="16"/>
        <v>16426862</v>
      </c>
    </row>
    <row r="120" spans="1:20" x14ac:dyDescent="0.2">
      <c r="C120" s="916"/>
      <c r="D120" s="916"/>
      <c r="E120" s="916"/>
      <c r="F120" s="913"/>
      <c r="G120" s="913"/>
      <c r="H120" s="913"/>
      <c r="I120" s="913"/>
      <c r="J120" s="913"/>
      <c r="K120" s="913"/>
      <c r="L120" s="913"/>
      <c r="M120" s="913"/>
      <c r="N120" s="913"/>
      <c r="O120" s="913"/>
      <c r="P120" s="913"/>
      <c r="Q120" s="913"/>
      <c r="R120" s="913"/>
      <c r="S120" s="913"/>
      <c r="T120" s="913"/>
    </row>
    <row r="121" spans="1:20" s="2" customFormat="1" x14ac:dyDescent="0.2">
      <c r="A121" s="53"/>
      <c r="B121" s="2" t="s">
        <v>308</v>
      </c>
      <c r="C121" s="931"/>
      <c r="D121" s="931"/>
      <c r="E121" s="931"/>
      <c r="F121" s="917"/>
      <c r="G121" s="917"/>
      <c r="H121" s="917"/>
      <c r="I121" s="917"/>
      <c r="J121" s="917"/>
      <c r="K121" s="917"/>
      <c r="L121" s="917"/>
      <c r="M121" s="917"/>
      <c r="N121" s="917"/>
      <c r="O121" s="917"/>
      <c r="P121" s="917"/>
      <c r="Q121" s="917"/>
      <c r="R121" s="917"/>
      <c r="S121" s="917"/>
      <c r="T121" s="917"/>
    </row>
    <row r="122" spans="1:20" hidden="1" x14ac:dyDescent="0.2">
      <c r="B122" t="s">
        <v>179</v>
      </c>
      <c r="C122" s="916">
        <v>0</v>
      </c>
      <c r="D122" s="916">
        <v>0</v>
      </c>
      <c r="E122" s="916">
        <v>0</v>
      </c>
      <c r="F122" s="913">
        <v>0</v>
      </c>
      <c r="G122" s="913">
        <v>0</v>
      </c>
      <c r="H122" s="913">
        <v>0</v>
      </c>
      <c r="I122" s="913">
        <v>0</v>
      </c>
      <c r="J122" s="913">
        <v>0</v>
      </c>
      <c r="K122" s="913">
        <v>0</v>
      </c>
      <c r="L122" s="913">
        <v>0</v>
      </c>
      <c r="M122" s="913">
        <v>0</v>
      </c>
      <c r="N122" s="913">
        <v>0</v>
      </c>
      <c r="O122" s="913">
        <v>0</v>
      </c>
      <c r="P122" s="913">
        <v>0</v>
      </c>
      <c r="Q122" s="913">
        <v>0</v>
      </c>
      <c r="R122" s="913">
        <v>0</v>
      </c>
      <c r="S122" s="913">
        <v>0</v>
      </c>
      <c r="T122" s="913">
        <f t="shared" ref="T122:T153" si="17">SUM(C122:S122)</f>
        <v>0</v>
      </c>
    </row>
    <row r="123" spans="1:20" hidden="1" x14ac:dyDescent="0.2">
      <c r="B123" t="s">
        <v>145</v>
      </c>
      <c r="C123" s="916">
        <v>0</v>
      </c>
      <c r="D123" s="916">
        <v>0</v>
      </c>
      <c r="E123" s="916">
        <v>0</v>
      </c>
      <c r="F123" s="913">
        <v>0</v>
      </c>
      <c r="G123" s="913">
        <v>0</v>
      </c>
      <c r="H123" s="913">
        <v>0</v>
      </c>
      <c r="I123" s="913">
        <v>0</v>
      </c>
      <c r="J123" s="913">
        <v>0</v>
      </c>
      <c r="K123" s="913">
        <v>0</v>
      </c>
      <c r="L123" s="913">
        <v>0</v>
      </c>
      <c r="M123" s="913">
        <v>0</v>
      </c>
      <c r="N123" s="913">
        <v>0</v>
      </c>
      <c r="O123" s="913">
        <v>0</v>
      </c>
      <c r="P123" s="913">
        <v>0</v>
      </c>
      <c r="Q123" s="913">
        <v>0</v>
      </c>
      <c r="R123" s="913">
        <v>0</v>
      </c>
      <c r="S123" s="913">
        <v>0</v>
      </c>
      <c r="T123" s="913">
        <f t="shared" si="17"/>
        <v>0</v>
      </c>
    </row>
    <row r="124" spans="1:20" hidden="1" x14ac:dyDescent="0.2">
      <c r="B124" t="s">
        <v>180</v>
      </c>
      <c r="C124" s="916">
        <v>0</v>
      </c>
      <c r="D124" s="916">
        <v>0</v>
      </c>
      <c r="E124" s="916">
        <v>0</v>
      </c>
      <c r="F124" s="913">
        <v>0</v>
      </c>
      <c r="G124" s="913">
        <v>0</v>
      </c>
      <c r="H124" s="913">
        <v>0</v>
      </c>
      <c r="I124" s="913">
        <v>0</v>
      </c>
      <c r="J124" s="913">
        <v>0</v>
      </c>
      <c r="K124" s="913">
        <v>0</v>
      </c>
      <c r="L124" s="913">
        <v>0</v>
      </c>
      <c r="M124" s="913">
        <v>0</v>
      </c>
      <c r="N124" s="913">
        <v>0</v>
      </c>
      <c r="O124" s="913">
        <v>0</v>
      </c>
      <c r="P124" s="913">
        <v>0</v>
      </c>
      <c r="Q124" s="913">
        <v>0</v>
      </c>
      <c r="R124" s="913">
        <v>0</v>
      </c>
      <c r="S124" s="913">
        <v>0</v>
      </c>
      <c r="T124" s="913">
        <f t="shared" si="17"/>
        <v>0</v>
      </c>
    </row>
    <row r="125" spans="1:20" hidden="1" x14ac:dyDescent="0.2">
      <c r="B125" t="s">
        <v>181</v>
      </c>
      <c r="C125" s="916">
        <v>0</v>
      </c>
      <c r="D125" s="916">
        <v>0</v>
      </c>
      <c r="E125" s="916">
        <v>0</v>
      </c>
      <c r="F125" s="913">
        <v>0</v>
      </c>
      <c r="G125" s="913">
        <v>0</v>
      </c>
      <c r="H125" s="913">
        <v>0</v>
      </c>
      <c r="I125" s="913">
        <v>0</v>
      </c>
      <c r="J125" s="913">
        <v>0</v>
      </c>
      <c r="K125" s="913">
        <v>0</v>
      </c>
      <c r="L125" s="913">
        <v>0</v>
      </c>
      <c r="M125" s="913">
        <v>0</v>
      </c>
      <c r="N125" s="913">
        <v>0</v>
      </c>
      <c r="O125" s="913">
        <v>0</v>
      </c>
      <c r="P125" s="913">
        <v>0</v>
      </c>
      <c r="Q125" s="913">
        <v>0</v>
      </c>
      <c r="R125" s="913">
        <v>0</v>
      </c>
      <c r="S125" s="913">
        <v>0</v>
      </c>
      <c r="T125" s="913">
        <f t="shared" si="17"/>
        <v>0</v>
      </c>
    </row>
    <row r="126" spans="1:20" hidden="1" x14ac:dyDescent="0.2">
      <c r="B126" t="s">
        <v>182</v>
      </c>
      <c r="C126" s="916">
        <v>0</v>
      </c>
      <c r="D126" s="916">
        <v>0</v>
      </c>
      <c r="E126" s="916">
        <v>0</v>
      </c>
      <c r="F126" s="913">
        <v>0</v>
      </c>
      <c r="G126" s="913">
        <v>0</v>
      </c>
      <c r="H126" s="913">
        <v>0</v>
      </c>
      <c r="I126" s="913">
        <v>0</v>
      </c>
      <c r="J126" s="913">
        <v>0</v>
      </c>
      <c r="K126" s="913">
        <v>0</v>
      </c>
      <c r="L126" s="913">
        <v>0</v>
      </c>
      <c r="M126" s="913">
        <v>0</v>
      </c>
      <c r="N126" s="913">
        <v>0</v>
      </c>
      <c r="O126" s="913">
        <v>0</v>
      </c>
      <c r="P126" s="913">
        <v>0</v>
      </c>
      <c r="Q126" s="913">
        <v>0</v>
      </c>
      <c r="R126" s="913">
        <v>0</v>
      </c>
      <c r="S126" s="913">
        <v>0</v>
      </c>
      <c r="T126" s="913">
        <f t="shared" si="17"/>
        <v>0</v>
      </c>
    </row>
    <row r="127" spans="1:20" hidden="1" x14ac:dyDescent="0.2">
      <c r="B127" t="s">
        <v>183</v>
      </c>
      <c r="C127" s="916">
        <v>0</v>
      </c>
      <c r="D127" s="916">
        <v>0</v>
      </c>
      <c r="E127" s="916">
        <v>0</v>
      </c>
      <c r="F127" s="913">
        <v>0</v>
      </c>
      <c r="G127" s="913">
        <v>0</v>
      </c>
      <c r="H127" s="913">
        <v>0</v>
      </c>
      <c r="I127" s="913">
        <v>0</v>
      </c>
      <c r="J127" s="913">
        <v>0</v>
      </c>
      <c r="K127" s="913">
        <v>0</v>
      </c>
      <c r="L127" s="913">
        <v>0</v>
      </c>
      <c r="M127" s="913">
        <v>0</v>
      </c>
      <c r="N127" s="913">
        <v>0</v>
      </c>
      <c r="O127" s="913">
        <v>0</v>
      </c>
      <c r="P127" s="913">
        <v>0</v>
      </c>
      <c r="Q127" s="913">
        <v>0</v>
      </c>
      <c r="R127" s="913">
        <v>0</v>
      </c>
      <c r="S127" s="913">
        <v>0</v>
      </c>
      <c r="T127" s="913">
        <f t="shared" si="17"/>
        <v>0</v>
      </c>
    </row>
    <row r="128" spans="1:20" hidden="1" x14ac:dyDescent="0.2">
      <c r="B128" t="s">
        <v>184</v>
      </c>
      <c r="C128" s="916">
        <v>0</v>
      </c>
      <c r="D128" s="916">
        <v>0</v>
      </c>
      <c r="E128" s="916">
        <v>0</v>
      </c>
      <c r="F128" s="913">
        <v>0</v>
      </c>
      <c r="G128" s="913">
        <v>0</v>
      </c>
      <c r="H128" s="913">
        <v>0</v>
      </c>
      <c r="I128" s="913">
        <v>0</v>
      </c>
      <c r="J128" s="913">
        <v>0</v>
      </c>
      <c r="K128" s="913">
        <v>0</v>
      </c>
      <c r="L128" s="913">
        <v>0</v>
      </c>
      <c r="M128" s="913">
        <v>0</v>
      </c>
      <c r="N128" s="913">
        <v>0</v>
      </c>
      <c r="O128" s="913">
        <v>0</v>
      </c>
      <c r="P128" s="913">
        <v>0</v>
      </c>
      <c r="Q128" s="913">
        <v>0</v>
      </c>
      <c r="R128" s="913">
        <v>0</v>
      </c>
      <c r="S128" s="913">
        <v>0</v>
      </c>
      <c r="T128" s="913">
        <f t="shared" si="17"/>
        <v>0</v>
      </c>
    </row>
    <row r="129" spans="2:20" hidden="1" x14ac:dyDescent="0.2">
      <c r="B129" t="s">
        <v>185</v>
      </c>
      <c r="C129" s="916">
        <v>0</v>
      </c>
      <c r="D129" s="916">
        <v>0</v>
      </c>
      <c r="E129" s="916">
        <v>0</v>
      </c>
      <c r="F129" s="913">
        <v>0</v>
      </c>
      <c r="G129" s="913">
        <v>0</v>
      </c>
      <c r="H129" s="913">
        <v>0</v>
      </c>
      <c r="I129" s="913">
        <v>0</v>
      </c>
      <c r="J129" s="913">
        <v>0</v>
      </c>
      <c r="K129" s="913">
        <v>0</v>
      </c>
      <c r="L129" s="913">
        <v>0</v>
      </c>
      <c r="M129" s="913">
        <v>0</v>
      </c>
      <c r="N129" s="913">
        <v>0</v>
      </c>
      <c r="O129" s="913">
        <v>0</v>
      </c>
      <c r="P129" s="913">
        <v>0</v>
      </c>
      <c r="Q129" s="913">
        <v>0</v>
      </c>
      <c r="R129" s="913">
        <v>0</v>
      </c>
      <c r="S129" s="913">
        <v>0</v>
      </c>
      <c r="T129" s="913">
        <f t="shared" si="17"/>
        <v>0</v>
      </c>
    </row>
    <row r="130" spans="2:20" hidden="1" x14ac:dyDescent="0.2">
      <c r="B130" t="s">
        <v>186</v>
      </c>
      <c r="C130" s="916">
        <v>0</v>
      </c>
      <c r="D130" s="916">
        <v>0</v>
      </c>
      <c r="E130" s="916">
        <v>0</v>
      </c>
      <c r="F130" s="913">
        <v>0</v>
      </c>
      <c r="G130" s="913">
        <v>0</v>
      </c>
      <c r="H130" s="913">
        <v>0</v>
      </c>
      <c r="I130" s="913">
        <v>0</v>
      </c>
      <c r="J130" s="913">
        <v>0</v>
      </c>
      <c r="K130" s="913">
        <v>0</v>
      </c>
      <c r="L130" s="913">
        <v>0</v>
      </c>
      <c r="M130" s="913">
        <v>0</v>
      </c>
      <c r="N130" s="913">
        <v>0</v>
      </c>
      <c r="O130" s="913">
        <v>0</v>
      </c>
      <c r="P130" s="913">
        <v>0</v>
      </c>
      <c r="Q130" s="913">
        <v>0</v>
      </c>
      <c r="R130" s="913">
        <v>0</v>
      </c>
      <c r="S130" s="913">
        <v>0</v>
      </c>
      <c r="T130" s="913">
        <f t="shared" si="17"/>
        <v>0</v>
      </c>
    </row>
    <row r="131" spans="2:20" hidden="1" x14ac:dyDescent="0.2">
      <c r="B131" t="s">
        <v>187</v>
      </c>
      <c r="C131" s="916">
        <v>0</v>
      </c>
      <c r="D131" s="916">
        <v>0</v>
      </c>
      <c r="E131" s="916">
        <v>0</v>
      </c>
      <c r="F131" s="913">
        <v>0</v>
      </c>
      <c r="G131" s="913">
        <v>0</v>
      </c>
      <c r="H131" s="913">
        <v>0</v>
      </c>
      <c r="I131" s="913">
        <v>0</v>
      </c>
      <c r="J131" s="913">
        <v>0</v>
      </c>
      <c r="K131" s="913">
        <v>0</v>
      </c>
      <c r="L131" s="913">
        <v>0</v>
      </c>
      <c r="M131" s="913">
        <v>0</v>
      </c>
      <c r="N131" s="913">
        <v>0</v>
      </c>
      <c r="O131" s="913">
        <v>0</v>
      </c>
      <c r="P131" s="913">
        <v>0</v>
      </c>
      <c r="Q131" s="913">
        <v>0</v>
      </c>
      <c r="R131" s="913">
        <v>0</v>
      </c>
      <c r="S131" s="913">
        <v>0</v>
      </c>
      <c r="T131" s="913">
        <f t="shared" si="17"/>
        <v>0</v>
      </c>
    </row>
    <row r="132" spans="2:20" hidden="1" x14ac:dyDescent="0.2">
      <c r="B132" t="s">
        <v>188</v>
      </c>
      <c r="C132" s="916">
        <v>0</v>
      </c>
      <c r="D132" s="916">
        <v>0</v>
      </c>
      <c r="E132" s="916">
        <v>0</v>
      </c>
      <c r="F132" s="913">
        <v>0</v>
      </c>
      <c r="G132" s="913">
        <v>0</v>
      </c>
      <c r="H132" s="913">
        <v>0</v>
      </c>
      <c r="I132" s="913">
        <v>0</v>
      </c>
      <c r="J132" s="913">
        <v>0</v>
      </c>
      <c r="K132" s="913">
        <v>0</v>
      </c>
      <c r="L132" s="913">
        <v>0</v>
      </c>
      <c r="M132" s="913">
        <v>0</v>
      </c>
      <c r="N132" s="913">
        <v>0</v>
      </c>
      <c r="O132" s="913">
        <v>0</v>
      </c>
      <c r="P132" s="913">
        <v>0</v>
      </c>
      <c r="Q132" s="913">
        <v>0</v>
      </c>
      <c r="R132" s="913">
        <v>0</v>
      </c>
      <c r="S132" s="913">
        <v>0</v>
      </c>
      <c r="T132" s="913">
        <f t="shared" si="17"/>
        <v>0</v>
      </c>
    </row>
    <row r="133" spans="2:20" hidden="1" x14ac:dyDescent="0.2">
      <c r="B133" t="s">
        <v>189</v>
      </c>
      <c r="C133" s="916">
        <v>0</v>
      </c>
      <c r="D133" s="916">
        <v>0</v>
      </c>
      <c r="E133" s="916">
        <v>0</v>
      </c>
      <c r="F133" s="913">
        <v>0</v>
      </c>
      <c r="G133" s="913">
        <v>0</v>
      </c>
      <c r="H133" s="913">
        <v>0</v>
      </c>
      <c r="I133" s="913">
        <v>0</v>
      </c>
      <c r="J133" s="913">
        <v>0</v>
      </c>
      <c r="K133" s="913">
        <v>0</v>
      </c>
      <c r="L133" s="913">
        <v>0</v>
      </c>
      <c r="M133" s="913">
        <v>0</v>
      </c>
      <c r="N133" s="913">
        <v>0</v>
      </c>
      <c r="O133" s="913">
        <v>0</v>
      </c>
      <c r="P133" s="913">
        <v>0</v>
      </c>
      <c r="Q133" s="913">
        <v>0</v>
      </c>
      <c r="R133" s="913">
        <v>0</v>
      </c>
      <c r="S133" s="913">
        <v>0</v>
      </c>
      <c r="T133" s="913">
        <f t="shared" si="17"/>
        <v>0</v>
      </c>
    </row>
    <row r="134" spans="2:20" hidden="1" x14ac:dyDescent="0.2">
      <c r="B134" t="s">
        <v>190</v>
      </c>
      <c r="C134" s="916">
        <v>0</v>
      </c>
      <c r="D134" s="916">
        <v>0</v>
      </c>
      <c r="E134" s="916">
        <v>0</v>
      </c>
      <c r="F134" s="913">
        <v>0</v>
      </c>
      <c r="G134" s="913">
        <v>0</v>
      </c>
      <c r="H134" s="913">
        <v>0</v>
      </c>
      <c r="I134" s="913">
        <v>0</v>
      </c>
      <c r="J134" s="913">
        <v>0</v>
      </c>
      <c r="K134" s="913">
        <v>0</v>
      </c>
      <c r="L134" s="913">
        <v>0</v>
      </c>
      <c r="M134" s="913">
        <v>0</v>
      </c>
      <c r="N134" s="913">
        <v>0</v>
      </c>
      <c r="O134" s="913">
        <v>0</v>
      </c>
      <c r="P134" s="913">
        <v>0</v>
      </c>
      <c r="Q134" s="913">
        <v>0</v>
      </c>
      <c r="R134" s="913">
        <v>0</v>
      </c>
      <c r="S134" s="913">
        <v>0</v>
      </c>
      <c r="T134" s="913">
        <f t="shared" si="17"/>
        <v>0</v>
      </c>
    </row>
    <row r="135" spans="2:20" x14ac:dyDescent="0.2">
      <c r="B135" t="s">
        <v>191</v>
      </c>
      <c r="C135" s="916">
        <v>0</v>
      </c>
      <c r="D135" s="916">
        <v>0</v>
      </c>
      <c r="E135" s="916">
        <v>0</v>
      </c>
      <c r="F135" s="913">
        <v>0</v>
      </c>
      <c r="G135" s="913">
        <v>0</v>
      </c>
      <c r="H135" s="913">
        <v>0</v>
      </c>
      <c r="I135" s="913">
        <v>0</v>
      </c>
      <c r="J135" s="913">
        <v>0</v>
      </c>
      <c r="K135" s="913">
        <v>0</v>
      </c>
      <c r="L135" s="913">
        <v>0</v>
      </c>
      <c r="M135" s="913">
        <v>0</v>
      </c>
      <c r="N135" s="913">
        <v>0</v>
      </c>
      <c r="O135" s="913">
        <v>0</v>
      </c>
      <c r="P135" s="913">
        <v>0</v>
      </c>
      <c r="Q135" s="913">
        <v>0</v>
      </c>
      <c r="R135" s="913">
        <v>0</v>
      </c>
      <c r="S135" s="913">
        <v>-825351</v>
      </c>
      <c r="T135" s="913">
        <f t="shared" si="17"/>
        <v>-825351</v>
      </c>
    </row>
    <row r="136" spans="2:20" hidden="1" x14ac:dyDescent="0.2">
      <c r="B136" t="s">
        <v>192</v>
      </c>
      <c r="C136" s="916">
        <v>0</v>
      </c>
      <c r="D136" s="916">
        <v>0</v>
      </c>
      <c r="E136" s="916">
        <v>0</v>
      </c>
      <c r="F136" s="913">
        <v>0</v>
      </c>
      <c r="G136" s="913">
        <v>0</v>
      </c>
      <c r="H136" s="913">
        <v>0</v>
      </c>
      <c r="I136" s="913">
        <v>0</v>
      </c>
      <c r="J136" s="913">
        <v>0</v>
      </c>
      <c r="K136" s="913">
        <v>0</v>
      </c>
      <c r="L136" s="913">
        <v>0</v>
      </c>
      <c r="M136" s="913">
        <v>0</v>
      </c>
      <c r="N136" s="913">
        <v>0</v>
      </c>
      <c r="O136" s="913">
        <v>0</v>
      </c>
      <c r="P136" s="913">
        <v>0</v>
      </c>
      <c r="Q136" s="913">
        <v>0</v>
      </c>
      <c r="R136" s="913">
        <v>0</v>
      </c>
      <c r="S136" s="913">
        <v>0</v>
      </c>
      <c r="T136" s="913">
        <f t="shared" si="17"/>
        <v>0</v>
      </c>
    </row>
    <row r="137" spans="2:20" hidden="1" x14ac:dyDescent="0.2">
      <c r="B137" t="s">
        <v>193</v>
      </c>
      <c r="C137" s="916">
        <v>0</v>
      </c>
      <c r="D137" s="916">
        <v>0</v>
      </c>
      <c r="E137" s="916">
        <v>0</v>
      </c>
      <c r="F137" s="913">
        <v>0</v>
      </c>
      <c r="G137" s="913">
        <v>0</v>
      </c>
      <c r="H137" s="913">
        <v>0</v>
      </c>
      <c r="I137" s="913">
        <v>0</v>
      </c>
      <c r="J137" s="913">
        <v>0</v>
      </c>
      <c r="K137" s="913">
        <v>0</v>
      </c>
      <c r="L137" s="913">
        <v>0</v>
      </c>
      <c r="M137" s="913">
        <v>0</v>
      </c>
      <c r="N137" s="913">
        <v>0</v>
      </c>
      <c r="O137" s="913">
        <v>0</v>
      </c>
      <c r="P137" s="913">
        <v>0</v>
      </c>
      <c r="Q137" s="913">
        <v>0</v>
      </c>
      <c r="R137" s="913">
        <v>0</v>
      </c>
      <c r="S137" s="913">
        <v>0</v>
      </c>
      <c r="T137" s="913">
        <f t="shared" si="17"/>
        <v>0</v>
      </c>
    </row>
    <row r="138" spans="2:20" hidden="1" x14ac:dyDescent="0.2">
      <c r="B138" t="s">
        <v>194</v>
      </c>
      <c r="C138" s="916">
        <v>0</v>
      </c>
      <c r="D138" s="916">
        <v>0</v>
      </c>
      <c r="E138" s="916">
        <v>0</v>
      </c>
      <c r="F138" s="913">
        <v>0</v>
      </c>
      <c r="G138" s="913">
        <v>0</v>
      </c>
      <c r="H138" s="913">
        <v>0</v>
      </c>
      <c r="I138" s="913">
        <v>0</v>
      </c>
      <c r="J138" s="913">
        <v>0</v>
      </c>
      <c r="K138" s="913">
        <v>0</v>
      </c>
      <c r="L138" s="913">
        <v>0</v>
      </c>
      <c r="M138" s="913">
        <v>0</v>
      </c>
      <c r="N138" s="913">
        <v>0</v>
      </c>
      <c r="O138" s="913">
        <v>0</v>
      </c>
      <c r="P138" s="913">
        <v>0</v>
      </c>
      <c r="Q138" s="913">
        <v>0</v>
      </c>
      <c r="R138" s="913">
        <v>0</v>
      </c>
      <c r="S138" s="913">
        <v>0</v>
      </c>
      <c r="T138" s="913">
        <f t="shared" si="17"/>
        <v>0</v>
      </c>
    </row>
    <row r="139" spans="2:20" hidden="1" x14ac:dyDescent="0.2">
      <c r="B139" t="s">
        <v>195</v>
      </c>
      <c r="C139" s="916">
        <v>0</v>
      </c>
      <c r="D139" s="916">
        <v>0</v>
      </c>
      <c r="E139" s="916">
        <v>0</v>
      </c>
      <c r="F139" s="913">
        <v>0</v>
      </c>
      <c r="G139" s="913">
        <v>0</v>
      </c>
      <c r="H139" s="913">
        <v>0</v>
      </c>
      <c r="I139" s="913">
        <v>0</v>
      </c>
      <c r="J139" s="913">
        <v>0</v>
      </c>
      <c r="K139" s="913">
        <v>0</v>
      </c>
      <c r="L139" s="913">
        <v>0</v>
      </c>
      <c r="M139" s="913">
        <v>0</v>
      </c>
      <c r="N139" s="913">
        <v>0</v>
      </c>
      <c r="O139" s="913">
        <v>0</v>
      </c>
      <c r="P139" s="913">
        <v>0</v>
      </c>
      <c r="Q139" s="913">
        <v>0</v>
      </c>
      <c r="R139" s="913">
        <v>0</v>
      </c>
      <c r="S139" s="913">
        <v>0</v>
      </c>
      <c r="T139" s="913">
        <f t="shared" si="17"/>
        <v>0</v>
      </c>
    </row>
    <row r="140" spans="2:20" hidden="1" x14ac:dyDescent="0.2">
      <c r="B140" t="s">
        <v>196</v>
      </c>
      <c r="C140" s="916">
        <v>0</v>
      </c>
      <c r="D140" s="916">
        <v>0</v>
      </c>
      <c r="E140" s="916">
        <v>0</v>
      </c>
      <c r="F140" s="913">
        <v>0</v>
      </c>
      <c r="G140" s="913">
        <v>0</v>
      </c>
      <c r="H140" s="913">
        <v>0</v>
      </c>
      <c r="I140" s="913">
        <v>0</v>
      </c>
      <c r="J140" s="913">
        <v>0</v>
      </c>
      <c r="K140" s="913">
        <v>0</v>
      </c>
      <c r="L140" s="913">
        <v>0</v>
      </c>
      <c r="M140" s="913">
        <v>0</v>
      </c>
      <c r="N140" s="913">
        <v>0</v>
      </c>
      <c r="O140" s="913">
        <v>0</v>
      </c>
      <c r="P140" s="913">
        <v>0</v>
      </c>
      <c r="Q140" s="913">
        <v>0</v>
      </c>
      <c r="R140" s="913">
        <v>0</v>
      </c>
      <c r="S140" s="913">
        <v>0</v>
      </c>
      <c r="T140" s="913">
        <f t="shared" si="17"/>
        <v>0</v>
      </c>
    </row>
    <row r="141" spans="2:20" hidden="1" x14ac:dyDescent="0.2">
      <c r="B141" t="s">
        <v>197</v>
      </c>
      <c r="C141" s="916">
        <v>0</v>
      </c>
      <c r="D141" s="916">
        <v>0</v>
      </c>
      <c r="E141" s="916">
        <v>0</v>
      </c>
      <c r="F141" s="913">
        <v>0</v>
      </c>
      <c r="G141" s="913">
        <v>0</v>
      </c>
      <c r="H141" s="913">
        <v>0</v>
      </c>
      <c r="I141" s="913">
        <v>0</v>
      </c>
      <c r="J141" s="913">
        <v>0</v>
      </c>
      <c r="K141" s="913">
        <v>0</v>
      </c>
      <c r="L141" s="913">
        <v>0</v>
      </c>
      <c r="M141" s="913">
        <v>0</v>
      </c>
      <c r="N141" s="913">
        <v>0</v>
      </c>
      <c r="O141" s="913">
        <v>0</v>
      </c>
      <c r="P141" s="913">
        <v>0</v>
      </c>
      <c r="Q141" s="913">
        <v>0</v>
      </c>
      <c r="R141" s="913">
        <v>0</v>
      </c>
      <c r="S141" s="913">
        <v>0</v>
      </c>
      <c r="T141" s="913">
        <f t="shared" si="17"/>
        <v>0</v>
      </c>
    </row>
    <row r="142" spans="2:20" hidden="1" x14ac:dyDescent="0.2">
      <c r="B142" t="s">
        <v>198</v>
      </c>
      <c r="C142" s="916">
        <v>0</v>
      </c>
      <c r="D142" s="916">
        <v>0</v>
      </c>
      <c r="E142" s="916">
        <v>0</v>
      </c>
      <c r="F142" s="913">
        <v>0</v>
      </c>
      <c r="G142" s="913">
        <v>0</v>
      </c>
      <c r="H142" s="913">
        <v>0</v>
      </c>
      <c r="I142" s="913">
        <v>0</v>
      </c>
      <c r="J142" s="913">
        <v>0</v>
      </c>
      <c r="K142" s="913">
        <v>0</v>
      </c>
      <c r="L142" s="913">
        <v>0</v>
      </c>
      <c r="M142" s="913">
        <v>0</v>
      </c>
      <c r="N142" s="913">
        <v>0</v>
      </c>
      <c r="O142" s="913">
        <v>0</v>
      </c>
      <c r="P142" s="913">
        <v>0</v>
      </c>
      <c r="Q142" s="913">
        <v>0</v>
      </c>
      <c r="R142" s="913">
        <v>0</v>
      </c>
      <c r="S142" s="913">
        <v>0</v>
      </c>
      <c r="T142" s="913">
        <f t="shared" si="17"/>
        <v>0</v>
      </c>
    </row>
    <row r="143" spans="2:20" hidden="1" x14ac:dyDescent="0.2">
      <c r="B143" t="s">
        <v>199</v>
      </c>
      <c r="C143" s="916">
        <v>0</v>
      </c>
      <c r="D143" s="916">
        <v>0</v>
      </c>
      <c r="E143" s="916">
        <v>0</v>
      </c>
      <c r="F143" s="913">
        <v>0</v>
      </c>
      <c r="G143" s="913">
        <v>0</v>
      </c>
      <c r="H143" s="913">
        <v>0</v>
      </c>
      <c r="I143" s="913">
        <v>0</v>
      </c>
      <c r="J143" s="913">
        <v>0</v>
      </c>
      <c r="K143" s="913">
        <v>0</v>
      </c>
      <c r="L143" s="913">
        <v>0</v>
      </c>
      <c r="M143" s="913">
        <v>0</v>
      </c>
      <c r="N143" s="913">
        <v>0</v>
      </c>
      <c r="O143" s="913">
        <v>0</v>
      </c>
      <c r="P143" s="913">
        <v>0</v>
      </c>
      <c r="Q143" s="913">
        <v>0</v>
      </c>
      <c r="R143" s="913">
        <v>0</v>
      </c>
      <c r="S143" s="913">
        <v>0</v>
      </c>
      <c r="T143" s="913">
        <f t="shared" si="17"/>
        <v>0</v>
      </c>
    </row>
    <row r="144" spans="2:20" hidden="1" x14ac:dyDescent="0.2">
      <c r="B144" t="s">
        <v>200</v>
      </c>
      <c r="C144" s="916">
        <v>0</v>
      </c>
      <c r="D144" s="916">
        <v>0</v>
      </c>
      <c r="E144" s="916">
        <v>0</v>
      </c>
      <c r="F144" s="913">
        <v>0</v>
      </c>
      <c r="G144" s="913">
        <v>0</v>
      </c>
      <c r="H144" s="913">
        <v>0</v>
      </c>
      <c r="I144" s="913">
        <v>0</v>
      </c>
      <c r="J144" s="913">
        <v>0</v>
      </c>
      <c r="K144" s="913">
        <v>0</v>
      </c>
      <c r="L144" s="913">
        <v>0</v>
      </c>
      <c r="M144" s="913">
        <v>0</v>
      </c>
      <c r="N144" s="913">
        <v>0</v>
      </c>
      <c r="O144" s="913">
        <v>0</v>
      </c>
      <c r="P144" s="913">
        <v>0</v>
      </c>
      <c r="Q144" s="913">
        <v>0</v>
      </c>
      <c r="R144" s="913">
        <v>0</v>
      </c>
      <c r="S144" s="913">
        <v>0</v>
      </c>
      <c r="T144" s="913">
        <f t="shared" si="17"/>
        <v>0</v>
      </c>
    </row>
    <row r="145" spans="2:20" hidden="1" x14ac:dyDescent="0.2">
      <c r="B145" t="s">
        <v>201</v>
      </c>
      <c r="C145" s="916">
        <v>0</v>
      </c>
      <c r="D145" s="916">
        <v>0</v>
      </c>
      <c r="E145" s="916">
        <v>0</v>
      </c>
      <c r="F145" s="913">
        <v>0</v>
      </c>
      <c r="G145" s="913">
        <v>0</v>
      </c>
      <c r="H145" s="913">
        <v>0</v>
      </c>
      <c r="I145" s="913">
        <v>0</v>
      </c>
      <c r="J145" s="913">
        <v>0</v>
      </c>
      <c r="K145" s="913">
        <v>0</v>
      </c>
      <c r="L145" s="913">
        <v>0</v>
      </c>
      <c r="M145" s="913">
        <v>0</v>
      </c>
      <c r="N145" s="913">
        <v>0</v>
      </c>
      <c r="O145" s="913">
        <v>0</v>
      </c>
      <c r="P145" s="913">
        <v>0</v>
      </c>
      <c r="Q145" s="913">
        <v>0</v>
      </c>
      <c r="R145" s="913">
        <v>0</v>
      </c>
      <c r="S145" s="913">
        <v>0</v>
      </c>
      <c r="T145" s="913">
        <f t="shared" si="17"/>
        <v>0</v>
      </c>
    </row>
    <row r="146" spans="2:20" hidden="1" x14ac:dyDescent="0.2">
      <c r="B146" t="s">
        <v>202</v>
      </c>
      <c r="C146" s="916">
        <v>0</v>
      </c>
      <c r="D146" s="916">
        <v>0</v>
      </c>
      <c r="E146" s="916">
        <v>0</v>
      </c>
      <c r="F146" s="913">
        <v>0</v>
      </c>
      <c r="G146" s="913">
        <v>0</v>
      </c>
      <c r="H146" s="913">
        <v>0</v>
      </c>
      <c r="I146" s="913">
        <v>0</v>
      </c>
      <c r="J146" s="913">
        <v>0</v>
      </c>
      <c r="K146" s="913">
        <v>0</v>
      </c>
      <c r="L146" s="913">
        <v>0</v>
      </c>
      <c r="M146" s="913">
        <v>0</v>
      </c>
      <c r="N146" s="913">
        <v>0</v>
      </c>
      <c r="O146" s="913">
        <v>0</v>
      </c>
      <c r="P146" s="913">
        <v>0</v>
      </c>
      <c r="Q146" s="913">
        <v>0</v>
      </c>
      <c r="R146" s="913">
        <v>0</v>
      </c>
      <c r="S146" s="913">
        <v>0</v>
      </c>
      <c r="T146" s="913">
        <f t="shared" si="17"/>
        <v>0</v>
      </c>
    </row>
    <row r="147" spans="2:20" hidden="1" x14ac:dyDescent="0.2">
      <c r="B147" t="s">
        <v>203</v>
      </c>
      <c r="C147" s="916">
        <v>0</v>
      </c>
      <c r="D147" s="916">
        <v>0</v>
      </c>
      <c r="E147" s="916">
        <v>0</v>
      </c>
      <c r="F147" s="913">
        <v>0</v>
      </c>
      <c r="G147" s="913">
        <v>0</v>
      </c>
      <c r="H147" s="913">
        <v>0</v>
      </c>
      <c r="I147" s="913">
        <v>0</v>
      </c>
      <c r="J147" s="913">
        <v>0</v>
      </c>
      <c r="K147" s="913">
        <v>0</v>
      </c>
      <c r="L147" s="913">
        <v>0</v>
      </c>
      <c r="M147" s="913">
        <v>0</v>
      </c>
      <c r="N147" s="913">
        <v>0</v>
      </c>
      <c r="O147" s="913">
        <v>0</v>
      </c>
      <c r="P147" s="913">
        <v>0</v>
      </c>
      <c r="Q147" s="913">
        <v>0</v>
      </c>
      <c r="R147" s="913">
        <v>0</v>
      </c>
      <c r="S147" s="913">
        <v>0</v>
      </c>
      <c r="T147" s="913">
        <f t="shared" si="17"/>
        <v>0</v>
      </c>
    </row>
    <row r="148" spans="2:20" hidden="1" x14ac:dyDescent="0.2">
      <c r="B148" t="s">
        <v>204</v>
      </c>
      <c r="C148" s="916">
        <v>0</v>
      </c>
      <c r="D148" s="916">
        <v>0</v>
      </c>
      <c r="E148" s="916">
        <v>0</v>
      </c>
      <c r="F148" s="913">
        <v>0</v>
      </c>
      <c r="G148" s="913">
        <v>0</v>
      </c>
      <c r="H148" s="913">
        <v>0</v>
      </c>
      <c r="I148" s="913">
        <v>0</v>
      </c>
      <c r="J148" s="913">
        <v>0</v>
      </c>
      <c r="K148" s="913">
        <v>0</v>
      </c>
      <c r="L148" s="913">
        <v>0</v>
      </c>
      <c r="M148" s="913">
        <v>0</v>
      </c>
      <c r="N148" s="913">
        <v>0</v>
      </c>
      <c r="O148" s="913">
        <v>0</v>
      </c>
      <c r="P148" s="913">
        <v>0</v>
      </c>
      <c r="Q148" s="913">
        <v>0</v>
      </c>
      <c r="R148" s="913">
        <v>0</v>
      </c>
      <c r="S148" s="913">
        <v>0</v>
      </c>
      <c r="T148" s="913">
        <f t="shared" si="17"/>
        <v>0</v>
      </c>
    </row>
    <row r="149" spans="2:20" hidden="1" x14ac:dyDescent="0.2">
      <c r="B149" t="s">
        <v>205</v>
      </c>
      <c r="C149" s="916">
        <v>0</v>
      </c>
      <c r="D149" s="916">
        <v>0</v>
      </c>
      <c r="E149" s="916">
        <v>0</v>
      </c>
      <c r="F149" s="913">
        <v>0</v>
      </c>
      <c r="G149" s="913">
        <v>0</v>
      </c>
      <c r="H149" s="913">
        <v>0</v>
      </c>
      <c r="I149" s="913">
        <v>0</v>
      </c>
      <c r="J149" s="913">
        <v>0</v>
      </c>
      <c r="K149" s="913">
        <v>0</v>
      </c>
      <c r="L149" s="913">
        <v>0</v>
      </c>
      <c r="M149" s="913">
        <v>0</v>
      </c>
      <c r="N149" s="913">
        <v>0</v>
      </c>
      <c r="O149" s="913">
        <v>0</v>
      </c>
      <c r="P149" s="913">
        <v>0</v>
      </c>
      <c r="Q149" s="913">
        <v>0</v>
      </c>
      <c r="R149" s="913">
        <v>0</v>
      </c>
      <c r="S149" s="913">
        <v>0</v>
      </c>
      <c r="T149" s="913">
        <f t="shared" si="17"/>
        <v>0</v>
      </c>
    </row>
    <row r="150" spans="2:20" x14ac:dyDescent="0.2">
      <c r="B150" t="s">
        <v>206</v>
      </c>
      <c r="C150" s="916">
        <v>0</v>
      </c>
      <c r="D150" s="916">
        <v>0</v>
      </c>
      <c r="E150" s="916">
        <v>0</v>
      </c>
      <c r="F150" s="913">
        <v>0</v>
      </c>
      <c r="G150" s="913">
        <v>0</v>
      </c>
      <c r="H150" s="913">
        <v>0</v>
      </c>
      <c r="I150" s="913">
        <v>0</v>
      </c>
      <c r="J150" s="913">
        <v>0</v>
      </c>
      <c r="K150" s="913">
        <v>0</v>
      </c>
      <c r="L150" s="913">
        <v>0</v>
      </c>
      <c r="M150" s="913">
        <v>0</v>
      </c>
      <c r="N150" s="913">
        <v>0</v>
      </c>
      <c r="O150" s="913">
        <v>0</v>
      </c>
      <c r="P150" s="913">
        <v>0</v>
      </c>
      <c r="Q150" s="913">
        <v>0</v>
      </c>
      <c r="R150" s="913">
        <v>0</v>
      </c>
      <c r="S150" s="913">
        <v>-601900</v>
      </c>
      <c r="T150" s="913">
        <f t="shared" si="17"/>
        <v>-601900</v>
      </c>
    </row>
    <row r="151" spans="2:20" hidden="1" x14ac:dyDescent="0.2">
      <c r="B151" t="s">
        <v>207</v>
      </c>
      <c r="C151" s="916">
        <v>0</v>
      </c>
      <c r="D151" s="916">
        <v>0</v>
      </c>
      <c r="E151" s="916">
        <v>0</v>
      </c>
      <c r="F151" s="913">
        <v>0</v>
      </c>
      <c r="G151" s="913">
        <v>0</v>
      </c>
      <c r="H151" s="913">
        <v>0</v>
      </c>
      <c r="I151" s="913">
        <v>0</v>
      </c>
      <c r="J151" s="913">
        <v>0</v>
      </c>
      <c r="K151" s="913">
        <v>0</v>
      </c>
      <c r="L151" s="913">
        <v>0</v>
      </c>
      <c r="M151" s="913">
        <v>0</v>
      </c>
      <c r="N151" s="913">
        <v>0</v>
      </c>
      <c r="O151" s="913">
        <v>0</v>
      </c>
      <c r="P151" s="913">
        <v>0</v>
      </c>
      <c r="Q151" s="913">
        <v>0</v>
      </c>
      <c r="R151" s="913">
        <v>0</v>
      </c>
      <c r="S151" s="913">
        <v>0</v>
      </c>
      <c r="T151" s="913">
        <f t="shared" si="17"/>
        <v>0</v>
      </c>
    </row>
    <row r="152" spans="2:20" hidden="1" x14ac:dyDescent="0.2">
      <c r="B152" t="s">
        <v>208</v>
      </c>
      <c r="C152" s="916">
        <v>0</v>
      </c>
      <c r="D152" s="916">
        <v>0</v>
      </c>
      <c r="E152" s="916">
        <v>0</v>
      </c>
      <c r="F152" s="913">
        <v>0</v>
      </c>
      <c r="G152" s="913">
        <v>0</v>
      </c>
      <c r="H152" s="913">
        <v>0</v>
      </c>
      <c r="I152" s="913">
        <v>0</v>
      </c>
      <c r="J152" s="913">
        <v>0</v>
      </c>
      <c r="K152" s="913">
        <v>0</v>
      </c>
      <c r="L152" s="913">
        <v>0</v>
      </c>
      <c r="M152" s="913">
        <v>0</v>
      </c>
      <c r="N152" s="913">
        <v>0</v>
      </c>
      <c r="O152" s="913">
        <v>0</v>
      </c>
      <c r="P152" s="913">
        <v>0</v>
      </c>
      <c r="Q152" s="913">
        <v>0</v>
      </c>
      <c r="R152" s="913">
        <v>0</v>
      </c>
      <c r="S152" s="913">
        <v>0</v>
      </c>
      <c r="T152" s="913">
        <f t="shared" si="17"/>
        <v>0</v>
      </c>
    </row>
    <row r="153" spans="2:20" hidden="1" x14ac:dyDescent="0.2">
      <c r="B153" t="s">
        <v>209</v>
      </c>
      <c r="C153" s="916">
        <v>0</v>
      </c>
      <c r="D153" s="916">
        <v>0</v>
      </c>
      <c r="E153" s="916">
        <v>0</v>
      </c>
      <c r="F153" s="913">
        <v>0</v>
      </c>
      <c r="G153" s="913">
        <v>0</v>
      </c>
      <c r="H153" s="913">
        <v>0</v>
      </c>
      <c r="I153" s="913">
        <v>0</v>
      </c>
      <c r="J153" s="913">
        <v>0</v>
      </c>
      <c r="K153" s="913">
        <v>0</v>
      </c>
      <c r="L153" s="913">
        <v>0</v>
      </c>
      <c r="M153" s="913">
        <v>0</v>
      </c>
      <c r="N153" s="913">
        <v>0</v>
      </c>
      <c r="O153" s="913">
        <v>0</v>
      </c>
      <c r="P153" s="913">
        <v>0</v>
      </c>
      <c r="Q153" s="913">
        <v>0</v>
      </c>
      <c r="R153" s="913">
        <v>0</v>
      </c>
      <c r="S153" s="913">
        <v>0</v>
      </c>
      <c r="T153" s="913">
        <f t="shared" si="17"/>
        <v>0</v>
      </c>
    </row>
    <row r="154" spans="2:20" hidden="1" x14ac:dyDescent="0.2">
      <c r="B154" t="s">
        <v>210</v>
      </c>
      <c r="C154" s="916">
        <v>0</v>
      </c>
      <c r="D154" s="916">
        <v>0</v>
      </c>
      <c r="E154" s="916">
        <v>0</v>
      </c>
      <c r="F154" s="913">
        <v>0</v>
      </c>
      <c r="G154" s="913">
        <v>0</v>
      </c>
      <c r="H154" s="913">
        <v>0</v>
      </c>
      <c r="I154" s="913">
        <v>0</v>
      </c>
      <c r="J154" s="913">
        <v>0</v>
      </c>
      <c r="K154" s="913">
        <v>0</v>
      </c>
      <c r="L154" s="913">
        <v>0</v>
      </c>
      <c r="M154" s="913">
        <v>0</v>
      </c>
      <c r="N154" s="913">
        <v>0</v>
      </c>
      <c r="O154" s="913">
        <v>0</v>
      </c>
      <c r="P154" s="913">
        <v>0</v>
      </c>
      <c r="Q154" s="913">
        <v>0</v>
      </c>
      <c r="R154" s="913">
        <v>0</v>
      </c>
      <c r="S154" s="913">
        <v>0</v>
      </c>
      <c r="T154" s="913">
        <f t="shared" ref="T154:T211" si="18">SUM(C154:S154)</f>
        <v>0</v>
      </c>
    </row>
    <row r="155" spans="2:20" hidden="1" x14ac:dyDescent="0.2">
      <c r="B155" t="s">
        <v>211</v>
      </c>
      <c r="C155" s="916">
        <v>0</v>
      </c>
      <c r="D155" s="916">
        <v>0</v>
      </c>
      <c r="E155" s="916">
        <v>0</v>
      </c>
      <c r="F155" s="913">
        <v>0</v>
      </c>
      <c r="G155" s="913">
        <v>0</v>
      </c>
      <c r="H155" s="913">
        <v>0</v>
      </c>
      <c r="I155" s="913">
        <v>0</v>
      </c>
      <c r="J155" s="913">
        <v>0</v>
      </c>
      <c r="K155" s="913">
        <v>0</v>
      </c>
      <c r="L155" s="913">
        <v>0</v>
      </c>
      <c r="M155" s="913">
        <v>0</v>
      </c>
      <c r="N155" s="913">
        <v>0</v>
      </c>
      <c r="O155" s="913">
        <v>0</v>
      </c>
      <c r="P155" s="913">
        <v>0</v>
      </c>
      <c r="Q155" s="913">
        <v>0</v>
      </c>
      <c r="R155" s="913">
        <v>0</v>
      </c>
      <c r="S155" s="913">
        <v>0</v>
      </c>
      <c r="T155" s="913">
        <f t="shared" si="18"/>
        <v>0</v>
      </c>
    </row>
    <row r="156" spans="2:20" hidden="1" x14ac:dyDescent="0.2">
      <c r="B156" t="s">
        <v>212</v>
      </c>
      <c r="C156" s="916">
        <v>0</v>
      </c>
      <c r="D156" s="916">
        <v>0</v>
      </c>
      <c r="E156" s="916">
        <v>0</v>
      </c>
      <c r="F156" s="913">
        <v>0</v>
      </c>
      <c r="G156" s="913">
        <v>0</v>
      </c>
      <c r="H156" s="913">
        <v>0</v>
      </c>
      <c r="I156" s="913">
        <v>0</v>
      </c>
      <c r="J156" s="913">
        <v>0</v>
      </c>
      <c r="K156" s="913">
        <v>0</v>
      </c>
      <c r="L156" s="913">
        <v>0</v>
      </c>
      <c r="M156" s="913">
        <v>0</v>
      </c>
      <c r="N156" s="913">
        <v>0</v>
      </c>
      <c r="O156" s="913">
        <v>0</v>
      </c>
      <c r="P156" s="913">
        <v>0</v>
      </c>
      <c r="Q156" s="913">
        <v>0</v>
      </c>
      <c r="R156" s="913">
        <v>0</v>
      </c>
      <c r="S156" s="913">
        <v>0</v>
      </c>
      <c r="T156" s="913">
        <f t="shared" si="18"/>
        <v>0</v>
      </c>
    </row>
    <row r="157" spans="2:20" hidden="1" x14ac:dyDescent="0.2">
      <c r="B157" t="s">
        <v>213</v>
      </c>
      <c r="C157" s="916">
        <v>0</v>
      </c>
      <c r="D157" s="916">
        <v>0</v>
      </c>
      <c r="E157" s="916">
        <v>0</v>
      </c>
      <c r="F157" s="913">
        <v>0</v>
      </c>
      <c r="G157" s="913">
        <v>0</v>
      </c>
      <c r="H157" s="913">
        <v>0</v>
      </c>
      <c r="I157" s="913">
        <v>0</v>
      </c>
      <c r="J157" s="913">
        <v>0</v>
      </c>
      <c r="K157" s="913">
        <v>0</v>
      </c>
      <c r="L157" s="913">
        <v>0</v>
      </c>
      <c r="M157" s="913">
        <v>0</v>
      </c>
      <c r="N157" s="913">
        <v>0</v>
      </c>
      <c r="O157" s="913">
        <v>0</v>
      </c>
      <c r="P157" s="913">
        <v>0</v>
      </c>
      <c r="Q157" s="913">
        <v>0</v>
      </c>
      <c r="R157" s="913">
        <v>0</v>
      </c>
      <c r="S157" s="913">
        <v>0</v>
      </c>
      <c r="T157" s="913">
        <f t="shared" si="18"/>
        <v>0</v>
      </c>
    </row>
    <row r="158" spans="2:20" hidden="1" x14ac:dyDescent="0.2">
      <c r="B158" t="s">
        <v>214</v>
      </c>
      <c r="C158" s="916">
        <v>0</v>
      </c>
      <c r="D158" s="916">
        <v>0</v>
      </c>
      <c r="E158" s="916">
        <v>0</v>
      </c>
      <c r="F158" s="913">
        <v>0</v>
      </c>
      <c r="G158" s="913">
        <v>0</v>
      </c>
      <c r="H158" s="913">
        <v>0</v>
      </c>
      <c r="I158" s="913">
        <v>0</v>
      </c>
      <c r="J158" s="913">
        <v>0</v>
      </c>
      <c r="K158" s="913">
        <v>0</v>
      </c>
      <c r="L158" s="913">
        <v>0</v>
      </c>
      <c r="M158" s="913">
        <v>0</v>
      </c>
      <c r="N158" s="913">
        <v>0</v>
      </c>
      <c r="O158" s="913">
        <v>0</v>
      </c>
      <c r="P158" s="913">
        <v>0</v>
      </c>
      <c r="Q158" s="913">
        <v>0</v>
      </c>
      <c r="R158" s="913">
        <v>0</v>
      </c>
      <c r="S158" s="913">
        <v>0</v>
      </c>
      <c r="T158" s="913">
        <f t="shared" si="18"/>
        <v>0</v>
      </c>
    </row>
    <row r="159" spans="2:20" hidden="1" x14ac:dyDescent="0.2">
      <c r="B159" t="s">
        <v>215</v>
      </c>
      <c r="C159" s="916">
        <v>0</v>
      </c>
      <c r="D159" s="916">
        <v>0</v>
      </c>
      <c r="E159" s="916">
        <v>0</v>
      </c>
      <c r="F159" s="913">
        <v>0</v>
      </c>
      <c r="G159" s="913">
        <v>0</v>
      </c>
      <c r="H159" s="913">
        <v>0</v>
      </c>
      <c r="I159" s="913">
        <v>0</v>
      </c>
      <c r="J159" s="913">
        <v>0</v>
      </c>
      <c r="K159" s="913">
        <v>0</v>
      </c>
      <c r="L159" s="913">
        <v>0</v>
      </c>
      <c r="M159" s="913">
        <v>0</v>
      </c>
      <c r="N159" s="913">
        <v>0</v>
      </c>
      <c r="O159" s="913">
        <v>0</v>
      </c>
      <c r="P159" s="913">
        <v>0</v>
      </c>
      <c r="Q159" s="913">
        <v>0</v>
      </c>
      <c r="R159" s="913">
        <v>0</v>
      </c>
      <c r="S159" s="913">
        <v>0</v>
      </c>
      <c r="T159" s="913">
        <f t="shared" si="18"/>
        <v>0</v>
      </c>
    </row>
    <row r="160" spans="2:20" hidden="1" x14ac:dyDescent="0.2">
      <c r="B160" t="s">
        <v>216</v>
      </c>
      <c r="C160" s="916">
        <v>0</v>
      </c>
      <c r="D160" s="916">
        <v>0</v>
      </c>
      <c r="E160" s="916">
        <v>0</v>
      </c>
      <c r="F160" s="913">
        <v>0</v>
      </c>
      <c r="G160" s="913">
        <v>0</v>
      </c>
      <c r="H160" s="913">
        <v>0</v>
      </c>
      <c r="I160" s="913">
        <v>0</v>
      </c>
      <c r="J160" s="913">
        <v>0</v>
      </c>
      <c r="K160" s="913">
        <v>0</v>
      </c>
      <c r="L160" s="913">
        <v>0</v>
      </c>
      <c r="M160" s="913">
        <v>0</v>
      </c>
      <c r="N160" s="913">
        <v>0</v>
      </c>
      <c r="O160" s="913">
        <v>0</v>
      </c>
      <c r="P160" s="913">
        <v>0</v>
      </c>
      <c r="Q160" s="913">
        <v>0</v>
      </c>
      <c r="R160" s="913">
        <v>0</v>
      </c>
      <c r="S160" s="913">
        <v>0</v>
      </c>
      <c r="T160" s="913">
        <f t="shared" si="18"/>
        <v>0</v>
      </c>
    </row>
    <row r="161" spans="1:20" hidden="1" x14ac:dyDescent="0.2">
      <c r="B161" t="s">
        <v>217</v>
      </c>
      <c r="C161" s="916">
        <v>0</v>
      </c>
      <c r="D161" s="916">
        <v>0</v>
      </c>
      <c r="E161" s="916">
        <v>0</v>
      </c>
      <c r="F161" s="913">
        <v>0</v>
      </c>
      <c r="G161" s="913">
        <v>0</v>
      </c>
      <c r="H161" s="913">
        <v>0</v>
      </c>
      <c r="I161" s="913">
        <v>0</v>
      </c>
      <c r="J161" s="913">
        <v>0</v>
      </c>
      <c r="K161" s="913">
        <v>0</v>
      </c>
      <c r="L161" s="913">
        <v>0</v>
      </c>
      <c r="M161" s="913">
        <v>0</v>
      </c>
      <c r="N161" s="913">
        <v>0</v>
      </c>
      <c r="O161" s="913">
        <v>0</v>
      </c>
      <c r="P161" s="913">
        <v>0</v>
      </c>
      <c r="Q161" s="913">
        <v>0</v>
      </c>
      <c r="R161" s="913">
        <v>0</v>
      </c>
      <c r="S161" s="913">
        <v>0</v>
      </c>
      <c r="T161" s="913">
        <f t="shared" si="18"/>
        <v>0</v>
      </c>
    </row>
    <row r="162" spans="1:20" hidden="1" x14ac:dyDescent="0.2">
      <c r="B162" t="s">
        <v>218</v>
      </c>
      <c r="C162" s="916">
        <v>0</v>
      </c>
      <c r="D162" s="916">
        <v>0</v>
      </c>
      <c r="E162" s="916">
        <v>0</v>
      </c>
      <c r="F162" s="913">
        <v>0</v>
      </c>
      <c r="G162" s="913">
        <v>0</v>
      </c>
      <c r="H162" s="913">
        <v>0</v>
      </c>
      <c r="I162" s="913">
        <v>0</v>
      </c>
      <c r="J162" s="913">
        <v>0</v>
      </c>
      <c r="K162" s="913">
        <v>0</v>
      </c>
      <c r="L162" s="913">
        <v>0</v>
      </c>
      <c r="M162" s="913">
        <v>0</v>
      </c>
      <c r="N162" s="913">
        <v>0</v>
      </c>
      <c r="O162" s="913">
        <v>0</v>
      </c>
      <c r="P162" s="913">
        <v>0</v>
      </c>
      <c r="Q162" s="913">
        <v>0</v>
      </c>
      <c r="R162" s="913">
        <v>0</v>
      </c>
      <c r="S162" s="913">
        <v>0</v>
      </c>
      <c r="T162" s="913">
        <f t="shared" si="18"/>
        <v>0</v>
      </c>
    </row>
    <row r="163" spans="1:20" hidden="1" x14ac:dyDescent="0.2">
      <c r="B163" t="s">
        <v>219</v>
      </c>
      <c r="C163" s="916">
        <v>0</v>
      </c>
      <c r="D163" s="916">
        <v>0</v>
      </c>
      <c r="E163" s="916">
        <v>0</v>
      </c>
      <c r="F163" s="913">
        <v>0</v>
      </c>
      <c r="G163" s="913">
        <v>0</v>
      </c>
      <c r="H163" s="913">
        <v>0</v>
      </c>
      <c r="I163" s="913">
        <v>0</v>
      </c>
      <c r="J163" s="913">
        <v>0</v>
      </c>
      <c r="K163" s="913">
        <v>0</v>
      </c>
      <c r="L163" s="913">
        <v>0</v>
      </c>
      <c r="M163" s="913">
        <v>0</v>
      </c>
      <c r="N163" s="913">
        <v>0</v>
      </c>
      <c r="O163" s="913">
        <v>0</v>
      </c>
      <c r="P163" s="913">
        <v>0</v>
      </c>
      <c r="Q163" s="913">
        <v>0</v>
      </c>
      <c r="R163" s="913">
        <v>0</v>
      </c>
      <c r="S163" s="913">
        <v>0</v>
      </c>
      <c r="T163" s="913">
        <f t="shared" si="18"/>
        <v>0</v>
      </c>
    </row>
    <row r="164" spans="1:20" hidden="1" x14ac:dyDescent="0.2">
      <c r="B164" t="s">
        <v>220</v>
      </c>
      <c r="C164" s="916">
        <v>0</v>
      </c>
      <c r="D164" s="916">
        <v>0</v>
      </c>
      <c r="E164" s="916">
        <v>0</v>
      </c>
      <c r="F164" s="913">
        <v>0</v>
      </c>
      <c r="G164" s="913">
        <v>0</v>
      </c>
      <c r="H164" s="913">
        <v>0</v>
      </c>
      <c r="I164" s="913">
        <v>0</v>
      </c>
      <c r="J164" s="913">
        <v>0</v>
      </c>
      <c r="K164" s="913">
        <v>0</v>
      </c>
      <c r="L164" s="913">
        <v>0</v>
      </c>
      <c r="M164" s="913">
        <v>0</v>
      </c>
      <c r="N164" s="913">
        <v>0</v>
      </c>
      <c r="O164" s="913">
        <v>0</v>
      </c>
      <c r="P164" s="913">
        <v>0</v>
      </c>
      <c r="Q164" s="913">
        <v>0</v>
      </c>
      <c r="R164" s="913">
        <v>0</v>
      </c>
      <c r="S164" s="913">
        <v>0</v>
      </c>
      <c r="T164" s="913">
        <f t="shared" si="18"/>
        <v>0</v>
      </c>
    </row>
    <row r="165" spans="1:20" x14ac:dyDescent="0.2">
      <c r="B165" t="s">
        <v>221</v>
      </c>
      <c r="C165" s="916">
        <v>0</v>
      </c>
      <c r="D165" s="916">
        <v>0</v>
      </c>
      <c r="E165" s="916">
        <v>0</v>
      </c>
      <c r="F165" s="913">
        <v>0</v>
      </c>
      <c r="G165" s="913">
        <v>0</v>
      </c>
      <c r="H165" s="913">
        <v>0</v>
      </c>
      <c r="I165" s="913">
        <v>0</v>
      </c>
      <c r="J165" s="913">
        <v>0</v>
      </c>
      <c r="K165" s="913">
        <v>0</v>
      </c>
      <c r="L165" s="913">
        <v>0</v>
      </c>
      <c r="M165" s="913">
        <v>0</v>
      </c>
      <c r="N165" s="913">
        <v>0</v>
      </c>
      <c r="O165" s="913">
        <v>0</v>
      </c>
      <c r="P165" s="913">
        <v>0</v>
      </c>
      <c r="Q165" s="913">
        <v>0</v>
      </c>
      <c r="R165" s="913">
        <v>0</v>
      </c>
      <c r="S165" s="913">
        <v>-379500</v>
      </c>
      <c r="T165" s="913">
        <f t="shared" si="18"/>
        <v>-379500</v>
      </c>
    </row>
    <row r="166" spans="1:20" hidden="1" x14ac:dyDescent="0.2">
      <c r="A166" s="2" t="s">
        <v>10</v>
      </c>
      <c r="B166" t="s">
        <v>142</v>
      </c>
      <c r="C166" s="916">
        <v>0</v>
      </c>
      <c r="D166" s="916">
        <v>0</v>
      </c>
      <c r="E166" s="916">
        <v>0</v>
      </c>
      <c r="F166" s="913">
        <v>0</v>
      </c>
      <c r="G166" s="913">
        <v>0</v>
      </c>
      <c r="H166" s="913">
        <v>0</v>
      </c>
      <c r="I166" s="913">
        <v>0</v>
      </c>
      <c r="J166" s="913">
        <v>0</v>
      </c>
      <c r="K166" s="913">
        <v>0</v>
      </c>
      <c r="L166" s="913">
        <v>0</v>
      </c>
      <c r="M166" s="913">
        <v>0</v>
      </c>
      <c r="N166" s="913">
        <v>0</v>
      </c>
      <c r="O166" s="913">
        <v>0</v>
      </c>
      <c r="P166" s="913">
        <v>0</v>
      </c>
      <c r="Q166" s="913">
        <v>0</v>
      </c>
      <c r="R166" s="913">
        <v>0</v>
      </c>
      <c r="S166" s="913">
        <v>0</v>
      </c>
      <c r="T166" s="913">
        <f t="shared" si="18"/>
        <v>0</v>
      </c>
    </row>
    <row r="167" spans="1:20" hidden="1" x14ac:dyDescent="0.2">
      <c r="A167" s="2" t="s">
        <v>10</v>
      </c>
      <c r="B167" t="s">
        <v>141</v>
      </c>
      <c r="C167" s="916">
        <v>0</v>
      </c>
      <c r="D167" s="916">
        <v>0</v>
      </c>
      <c r="E167" s="916">
        <v>0</v>
      </c>
      <c r="F167" s="913">
        <v>0</v>
      </c>
      <c r="G167" s="913">
        <v>0</v>
      </c>
      <c r="H167" s="913">
        <v>0</v>
      </c>
      <c r="I167" s="913">
        <v>0</v>
      </c>
      <c r="J167" s="913">
        <v>0</v>
      </c>
      <c r="K167" s="913">
        <v>0</v>
      </c>
      <c r="L167" s="913">
        <v>0</v>
      </c>
      <c r="M167" s="913">
        <v>0</v>
      </c>
      <c r="N167" s="913">
        <v>0</v>
      </c>
      <c r="O167" s="913">
        <v>0</v>
      </c>
      <c r="P167" s="913">
        <v>0</v>
      </c>
      <c r="Q167" s="913">
        <v>0</v>
      </c>
      <c r="R167" s="913">
        <v>0</v>
      </c>
      <c r="S167" s="913">
        <v>0</v>
      </c>
      <c r="T167" s="913">
        <f t="shared" si="18"/>
        <v>0</v>
      </c>
    </row>
    <row r="168" spans="1:20" hidden="1" x14ac:dyDescent="0.2">
      <c r="A168" s="2" t="s">
        <v>33</v>
      </c>
      <c r="B168" t="s">
        <v>222</v>
      </c>
      <c r="C168" s="916">
        <v>0</v>
      </c>
      <c r="D168" s="916">
        <v>0</v>
      </c>
      <c r="E168" s="916">
        <v>0</v>
      </c>
      <c r="F168" s="913">
        <v>0</v>
      </c>
      <c r="G168" s="913">
        <v>0</v>
      </c>
      <c r="H168" s="913">
        <v>0</v>
      </c>
      <c r="I168" s="913">
        <v>0</v>
      </c>
      <c r="J168" s="913">
        <v>0</v>
      </c>
      <c r="K168" s="913">
        <v>0</v>
      </c>
      <c r="L168" s="913">
        <v>0</v>
      </c>
      <c r="M168" s="913">
        <v>0</v>
      </c>
      <c r="N168" s="913">
        <v>0</v>
      </c>
      <c r="O168" s="913">
        <v>0</v>
      </c>
      <c r="P168" s="913">
        <v>0</v>
      </c>
      <c r="Q168" s="913">
        <v>0</v>
      </c>
      <c r="R168" s="913">
        <v>0</v>
      </c>
      <c r="S168" s="913">
        <v>0</v>
      </c>
      <c r="T168" s="913">
        <f t="shared" si="18"/>
        <v>0</v>
      </c>
    </row>
    <row r="169" spans="1:20" hidden="1" x14ac:dyDescent="0.2">
      <c r="A169" s="2" t="s">
        <v>10</v>
      </c>
      <c r="B169" t="s">
        <v>138</v>
      </c>
      <c r="C169" s="916">
        <v>0</v>
      </c>
      <c r="D169" s="916">
        <v>0</v>
      </c>
      <c r="E169" s="916">
        <v>0</v>
      </c>
      <c r="F169" s="913">
        <v>0</v>
      </c>
      <c r="G169" s="913">
        <v>0</v>
      </c>
      <c r="H169" s="913">
        <v>0</v>
      </c>
      <c r="I169" s="913">
        <v>0</v>
      </c>
      <c r="J169" s="913">
        <v>0</v>
      </c>
      <c r="K169" s="913">
        <v>0</v>
      </c>
      <c r="L169" s="913">
        <v>0</v>
      </c>
      <c r="M169" s="913">
        <v>0</v>
      </c>
      <c r="N169" s="913">
        <v>0</v>
      </c>
      <c r="O169" s="913">
        <v>0</v>
      </c>
      <c r="P169" s="913">
        <v>0</v>
      </c>
      <c r="Q169" s="913">
        <v>0</v>
      </c>
      <c r="R169" s="913">
        <v>0</v>
      </c>
      <c r="S169" s="913">
        <v>0</v>
      </c>
      <c r="T169" s="913">
        <f t="shared" si="18"/>
        <v>0</v>
      </c>
    </row>
    <row r="170" spans="1:20" hidden="1" x14ac:dyDescent="0.2">
      <c r="A170" s="2" t="s">
        <v>10</v>
      </c>
      <c r="B170" t="s">
        <v>136</v>
      </c>
      <c r="C170" s="916">
        <v>0</v>
      </c>
      <c r="D170" s="916">
        <v>0</v>
      </c>
      <c r="E170" s="916">
        <v>0</v>
      </c>
      <c r="F170" s="913">
        <v>0</v>
      </c>
      <c r="G170" s="913">
        <v>0</v>
      </c>
      <c r="H170" s="913">
        <v>0</v>
      </c>
      <c r="I170" s="913">
        <v>0</v>
      </c>
      <c r="J170" s="913">
        <v>0</v>
      </c>
      <c r="K170" s="913">
        <v>0</v>
      </c>
      <c r="L170" s="913">
        <v>0</v>
      </c>
      <c r="M170" s="913">
        <v>0</v>
      </c>
      <c r="N170" s="913">
        <v>0</v>
      </c>
      <c r="O170" s="913">
        <v>0</v>
      </c>
      <c r="P170" s="913">
        <v>0</v>
      </c>
      <c r="Q170" s="913">
        <v>0</v>
      </c>
      <c r="R170" s="913">
        <v>0</v>
      </c>
      <c r="S170" s="913">
        <v>0</v>
      </c>
      <c r="T170" s="913">
        <f t="shared" si="18"/>
        <v>0</v>
      </c>
    </row>
    <row r="171" spans="1:20" hidden="1" x14ac:dyDescent="0.2">
      <c r="B171" t="s">
        <v>223</v>
      </c>
      <c r="C171" s="916">
        <v>0</v>
      </c>
      <c r="D171" s="916">
        <v>0</v>
      </c>
      <c r="E171" s="916">
        <v>0</v>
      </c>
      <c r="F171" s="913">
        <v>0</v>
      </c>
      <c r="G171" s="913">
        <v>0</v>
      </c>
      <c r="H171" s="913">
        <v>0</v>
      </c>
      <c r="I171" s="913">
        <v>0</v>
      </c>
      <c r="J171" s="913">
        <v>0</v>
      </c>
      <c r="K171" s="913">
        <v>0</v>
      </c>
      <c r="L171" s="913">
        <v>0</v>
      </c>
      <c r="M171" s="913">
        <v>0</v>
      </c>
      <c r="N171" s="913">
        <v>0</v>
      </c>
      <c r="O171" s="913">
        <v>0</v>
      </c>
      <c r="P171" s="913">
        <v>0</v>
      </c>
      <c r="Q171" s="913">
        <v>0</v>
      </c>
      <c r="R171" s="913">
        <v>0</v>
      </c>
      <c r="S171" s="913">
        <v>0</v>
      </c>
      <c r="T171" s="913">
        <f t="shared" si="18"/>
        <v>0</v>
      </c>
    </row>
    <row r="172" spans="1:20" hidden="1" x14ac:dyDescent="0.2">
      <c r="B172" t="s">
        <v>224</v>
      </c>
      <c r="C172" s="916">
        <v>0</v>
      </c>
      <c r="D172" s="916">
        <v>0</v>
      </c>
      <c r="E172" s="916">
        <v>0</v>
      </c>
      <c r="F172" s="913">
        <v>0</v>
      </c>
      <c r="G172" s="913">
        <v>0</v>
      </c>
      <c r="H172" s="913">
        <v>0</v>
      </c>
      <c r="I172" s="913">
        <v>0</v>
      </c>
      <c r="J172" s="913">
        <v>0</v>
      </c>
      <c r="K172" s="913">
        <v>0</v>
      </c>
      <c r="L172" s="913">
        <v>0</v>
      </c>
      <c r="M172" s="913">
        <v>0</v>
      </c>
      <c r="N172" s="913">
        <v>0</v>
      </c>
      <c r="O172" s="913">
        <v>0</v>
      </c>
      <c r="P172" s="913">
        <v>0</v>
      </c>
      <c r="Q172" s="913">
        <v>0</v>
      </c>
      <c r="R172" s="913">
        <v>0</v>
      </c>
      <c r="S172" s="913">
        <v>0</v>
      </c>
      <c r="T172" s="913">
        <f t="shared" si="18"/>
        <v>0</v>
      </c>
    </row>
    <row r="173" spans="1:20" hidden="1" x14ac:dyDescent="0.2">
      <c r="B173" t="s">
        <v>225</v>
      </c>
      <c r="C173" s="916">
        <v>0</v>
      </c>
      <c r="D173" s="916">
        <v>0</v>
      </c>
      <c r="E173" s="916">
        <v>0</v>
      </c>
      <c r="F173" s="913">
        <v>0</v>
      </c>
      <c r="G173" s="913">
        <v>0</v>
      </c>
      <c r="H173" s="913">
        <v>0</v>
      </c>
      <c r="I173" s="913">
        <v>0</v>
      </c>
      <c r="J173" s="913">
        <v>0</v>
      </c>
      <c r="K173" s="913">
        <v>0</v>
      </c>
      <c r="L173" s="913">
        <v>0</v>
      </c>
      <c r="M173" s="913">
        <v>0</v>
      </c>
      <c r="N173" s="913">
        <v>0</v>
      </c>
      <c r="O173" s="913">
        <v>0</v>
      </c>
      <c r="P173" s="913">
        <v>0</v>
      </c>
      <c r="Q173" s="913">
        <v>0</v>
      </c>
      <c r="R173" s="913">
        <v>0</v>
      </c>
      <c r="S173" s="913">
        <v>0</v>
      </c>
      <c r="T173" s="913">
        <f t="shared" si="18"/>
        <v>0</v>
      </c>
    </row>
    <row r="174" spans="1:20" hidden="1" x14ac:dyDescent="0.2">
      <c r="B174" t="s">
        <v>226</v>
      </c>
      <c r="C174" s="916">
        <v>0</v>
      </c>
      <c r="D174" s="916">
        <v>0</v>
      </c>
      <c r="E174" s="916">
        <v>0</v>
      </c>
      <c r="F174" s="913">
        <v>0</v>
      </c>
      <c r="G174" s="913">
        <v>0</v>
      </c>
      <c r="H174" s="913">
        <v>0</v>
      </c>
      <c r="I174" s="913">
        <v>0</v>
      </c>
      <c r="J174" s="913">
        <v>0</v>
      </c>
      <c r="K174" s="913">
        <v>0</v>
      </c>
      <c r="L174" s="913">
        <v>0</v>
      </c>
      <c r="M174" s="913">
        <v>0</v>
      </c>
      <c r="N174" s="913">
        <v>0</v>
      </c>
      <c r="O174" s="913">
        <v>0</v>
      </c>
      <c r="P174" s="913">
        <v>0</v>
      </c>
      <c r="Q174" s="913">
        <v>0</v>
      </c>
      <c r="R174" s="913">
        <v>0</v>
      </c>
      <c r="S174" s="913">
        <v>0</v>
      </c>
      <c r="T174" s="913">
        <f t="shared" si="18"/>
        <v>0</v>
      </c>
    </row>
    <row r="175" spans="1:20" hidden="1" x14ac:dyDescent="0.2">
      <c r="B175" t="s">
        <v>227</v>
      </c>
      <c r="C175" s="916">
        <v>0</v>
      </c>
      <c r="D175" s="916">
        <v>0</v>
      </c>
      <c r="E175" s="916">
        <v>0</v>
      </c>
      <c r="F175" s="913">
        <v>0</v>
      </c>
      <c r="G175" s="913">
        <v>0</v>
      </c>
      <c r="H175" s="913">
        <v>0</v>
      </c>
      <c r="I175" s="913">
        <v>0</v>
      </c>
      <c r="J175" s="913">
        <v>0</v>
      </c>
      <c r="K175" s="913">
        <v>0</v>
      </c>
      <c r="L175" s="913">
        <v>0</v>
      </c>
      <c r="M175" s="913">
        <v>0</v>
      </c>
      <c r="N175" s="913">
        <v>0</v>
      </c>
      <c r="O175" s="913">
        <v>0</v>
      </c>
      <c r="P175" s="913">
        <v>0</v>
      </c>
      <c r="Q175" s="913">
        <v>0</v>
      </c>
      <c r="R175" s="913">
        <v>0</v>
      </c>
      <c r="S175" s="913">
        <v>0</v>
      </c>
      <c r="T175" s="913">
        <f t="shared" si="18"/>
        <v>0</v>
      </c>
    </row>
    <row r="176" spans="1:20" hidden="1" x14ac:dyDescent="0.2">
      <c r="B176" t="s">
        <v>228</v>
      </c>
      <c r="C176" s="916">
        <v>0</v>
      </c>
      <c r="D176" s="916">
        <v>0</v>
      </c>
      <c r="E176" s="916">
        <v>0</v>
      </c>
      <c r="F176" s="913">
        <v>0</v>
      </c>
      <c r="G176" s="913">
        <v>0</v>
      </c>
      <c r="H176" s="913">
        <v>0</v>
      </c>
      <c r="I176" s="913">
        <v>0</v>
      </c>
      <c r="J176" s="913">
        <v>0</v>
      </c>
      <c r="K176" s="913">
        <v>0</v>
      </c>
      <c r="L176" s="913">
        <v>0</v>
      </c>
      <c r="M176" s="913">
        <v>0</v>
      </c>
      <c r="N176" s="913">
        <v>0</v>
      </c>
      <c r="O176" s="913">
        <v>0</v>
      </c>
      <c r="P176" s="913">
        <v>0</v>
      </c>
      <c r="Q176" s="913">
        <v>0</v>
      </c>
      <c r="R176" s="913">
        <v>0</v>
      </c>
      <c r="S176" s="913">
        <v>0</v>
      </c>
      <c r="T176" s="913">
        <f t="shared" si="18"/>
        <v>0</v>
      </c>
    </row>
    <row r="177" spans="2:20" hidden="1" x14ac:dyDescent="0.2">
      <c r="B177" t="s">
        <v>229</v>
      </c>
      <c r="C177" s="916">
        <v>0</v>
      </c>
      <c r="D177" s="916">
        <v>0</v>
      </c>
      <c r="E177" s="916">
        <v>0</v>
      </c>
      <c r="F177" s="913">
        <v>0</v>
      </c>
      <c r="G177" s="913">
        <v>0</v>
      </c>
      <c r="H177" s="913">
        <v>0</v>
      </c>
      <c r="I177" s="913">
        <v>0</v>
      </c>
      <c r="J177" s="913">
        <v>0</v>
      </c>
      <c r="K177" s="913">
        <v>0</v>
      </c>
      <c r="L177" s="913">
        <v>0</v>
      </c>
      <c r="M177" s="913">
        <v>0</v>
      </c>
      <c r="N177" s="913">
        <v>0</v>
      </c>
      <c r="O177" s="913">
        <v>0</v>
      </c>
      <c r="P177" s="913">
        <v>0</v>
      </c>
      <c r="Q177" s="913">
        <v>0</v>
      </c>
      <c r="R177" s="913">
        <v>0</v>
      </c>
      <c r="S177" s="913">
        <v>0</v>
      </c>
      <c r="T177" s="913">
        <f t="shared" si="18"/>
        <v>0</v>
      </c>
    </row>
    <row r="178" spans="2:20" hidden="1" x14ac:dyDescent="0.2">
      <c r="B178" t="s">
        <v>230</v>
      </c>
      <c r="C178" s="916">
        <v>0</v>
      </c>
      <c r="D178" s="916">
        <v>0</v>
      </c>
      <c r="E178" s="916">
        <v>0</v>
      </c>
      <c r="F178" s="913">
        <v>0</v>
      </c>
      <c r="G178" s="913">
        <v>0</v>
      </c>
      <c r="H178" s="913">
        <v>0</v>
      </c>
      <c r="I178" s="913">
        <v>0</v>
      </c>
      <c r="J178" s="913">
        <v>0</v>
      </c>
      <c r="K178" s="913">
        <v>0</v>
      </c>
      <c r="L178" s="913">
        <v>0</v>
      </c>
      <c r="M178" s="913">
        <v>0</v>
      </c>
      <c r="N178" s="913">
        <v>0</v>
      </c>
      <c r="O178" s="913">
        <v>0</v>
      </c>
      <c r="P178" s="913">
        <v>0</v>
      </c>
      <c r="Q178" s="913">
        <v>0</v>
      </c>
      <c r="R178" s="913">
        <v>0</v>
      </c>
      <c r="S178" s="913">
        <v>0</v>
      </c>
      <c r="T178" s="913">
        <f t="shared" si="18"/>
        <v>0</v>
      </c>
    </row>
    <row r="179" spans="2:20" hidden="1" x14ac:dyDescent="0.2">
      <c r="B179" t="s">
        <v>231</v>
      </c>
      <c r="C179" s="916">
        <v>0</v>
      </c>
      <c r="D179" s="916">
        <v>0</v>
      </c>
      <c r="E179" s="916">
        <v>0</v>
      </c>
      <c r="F179" s="913">
        <v>0</v>
      </c>
      <c r="G179" s="913">
        <v>0</v>
      </c>
      <c r="H179" s="913">
        <v>0</v>
      </c>
      <c r="I179" s="913">
        <v>0</v>
      </c>
      <c r="J179" s="913">
        <v>0</v>
      </c>
      <c r="K179" s="913">
        <v>0</v>
      </c>
      <c r="L179" s="913">
        <v>0</v>
      </c>
      <c r="M179" s="913">
        <v>0</v>
      </c>
      <c r="N179" s="913">
        <v>0</v>
      </c>
      <c r="O179" s="913">
        <v>0</v>
      </c>
      <c r="P179" s="913">
        <v>0</v>
      </c>
      <c r="Q179" s="913">
        <v>0</v>
      </c>
      <c r="R179" s="913">
        <v>0</v>
      </c>
      <c r="S179" s="913">
        <v>0</v>
      </c>
      <c r="T179" s="913">
        <f t="shared" si="18"/>
        <v>0</v>
      </c>
    </row>
    <row r="180" spans="2:20" hidden="1" x14ac:dyDescent="0.2">
      <c r="B180" t="s">
        <v>232</v>
      </c>
      <c r="C180" s="916">
        <v>0</v>
      </c>
      <c r="D180" s="916">
        <v>0</v>
      </c>
      <c r="E180" s="916">
        <v>0</v>
      </c>
      <c r="F180" s="913">
        <v>0</v>
      </c>
      <c r="G180" s="913">
        <v>0</v>
      </c>
      <c r="H180" s="913">
        <v>0</v>
      </c>
      <c r="I180" s="913">
        <v>0</v>
      </c>
      <c r="J180" s="913">
        <v>0</v>
      </c>
      <c r="K180" s="913">
        <v>0</v>
      </c>
      <c r="L180" s="913">
        <v>0</v>
      </c>
      <c r="M180" s="913">
        <v>0</v>
      </c>
      <c r="N180" s="913">
        <v>0</v>
      </c>
      <c r="O180" s="913">
        <v>0</v>
      </c>
      <c r="P180" s="913">
        <v>0</v>
      </c>
      <c r="Q180" s="913">
        <v>0</v>
      </c>
      <c r="R180" s="913">
        <v>0</v>
      </c>
      <c r="S180" s="913">
        <v>0</v>
      </c>
      <c r="T180" s="913">
        <f t="shared" si="18"/>
        <v>0</v>
      </c>
    </row>
    <row r="181" spans="2:20" hidden="1" x14ac:dyDescent="0.2">
      <c r="B181" t="s">
        <v>233</v>
      </c>
      <c r="C181" s="916">
        <v>0</v>
      </c>
      <c r="D181" s="916">
        <v>0</v>
      </c>
      <c r="E181" s="916">
        <v>0</v>
      </c>
      <c r="F181" s="913">
        <v>0</v>
      </c>
      <c r="G181" s="913">
        <v>0</v>
      </c>
      <c r="H181" s="913">
        <v>0</v>
      </c>
      <c r="I181" s="913">
        <v>0</v>
      </c>
      <c r="J181" s="913">
        <v>0</v>
      </c>
      <c r="K181" s="913">
        <v>0</v>
      </c>
      <c r="L181" s="913">
        <v>0</v>
      </c>
      <c r="M181" s="913">
        <v>0</v>
      </c>
      <c r="N181" s="913">
        <v>0</v>
      </c>
      <c r="O181" s="913">
        <v>0</v>
      </c>
      <c r="P181" s="913">
        <v>0</v>
      </c>
      <c r="Q181" s="913">
        <v>0</v>
      </c>
      <c r="R181" s="913">
        <v>0</v>
      </c>
      <c r="S181" s="913">
        <v>0</v>
      </c>
      <c r="T181" s="913">
        <f t="shared" si="18"/>
        <v>0</v>
      </c>
    </row>
    <row r="182" spans="2:20" hidden="1" x14ac:dyDescent="0.2">
      <c r="B182" t="s">
        <v>234</v>
      </c>
      <c r="C182" s="916">
        <v>0</v>
      </c>
      <c r="D182" s="916">
        <v>0</v>
      </c>
      <c r="E182" s="916">
        <v>0</v>
      </c>
      <c r="F182" s="913">
        <v>0</v>
      </c>
      <c r="G182" s="913">
        <v>0</v>
      </c>
      <c r="H182" s="913">
        <v>0</v>
      </c>
      <c r="I182" s="913">
        <v>0</v>
      </c>
      <c r="J182" s="913">
        <v>0</v>
      </c>
      <c r="K182" s="913">
        <v>0</v>
      </c>
      <c r="L182" s="913">
        <v>0</v>
      </c>
      <c r="M182" s="913">
        <v>0</v>
      </c>
      <c r="N182" s="913">
        <v>0</v>
      </c>
      <c r="O182" s="913">
        <v>0</v>
      </c>
      <c r="P182" s="913">
        <v>0</v>
      </c>
      <c r="Q182" s="913">
        <v>0</v>
      </c>
      <c r="R182" s="913">
        <v>0</v>
      </c>
      <c r="S182" s="913">
        <v>0</v>
      </c>
      <c r="T182" s="913">
        <f t="shared" si="18"/>
        <v>0</v>
      </c>
    </row>
    <row r="183" spans="2:20" x14ac:dyDescent="0.2">
      <c r="B183" t="s">
        <v>9</v>
      </c>
      <c r="C183" s="916">
        <v>0</v>
      </c>
      <c r="D183" s="916">
        <v>0</v>
      </c>
      <c r="E183" s="916">
        <v>0</v>
      </c>
      <c r="F183" s="913">
        <v>0</v>
      </c>
      <c r="G183" s="913">
        <v>0</v>
      </c>
      <c r="H183" s="913">
        <v>0</v>
      </c>
      <c r="I183" s="913">
        <v>0</v>
      </c>
      <c r="J183" s="913">
        <v>0</v>
      </c>
      <c r="K183" s="913">
        <v>0</v>
      </c>
      <c r="L183" s="913">
        <v>0</v>
      </c>
      <c r="M183" s="913">
        <v>0</v>
      </c>
      <c r="N183" s="913">
        <v>0</v>
      </c>
      <c r="O183" s="913">
        <v>0</v>
      </c>
      <c r="P183" s="913">
        <v>0</v>
      </c>
      <c r="Q183" s="913">
        <v>0</v>
      </c>
      <c r="R183" s="913">
        <v>0</v>
      </c>
      <c r="S183" s="913">
        <v>-5391007</v>
      </c>
      <c r="T183" s="913">
        <f t="shared" si="18"/>
        <v>-5391007</v>
      </c>
    </row>
    <row r="184" spans="2:20" hidden="1" x14ac:dyDescent="0.2">
      <c r="B184" s="3" t="s">
        <v>581</v>
      </c>
      <c r="C184" s="916">
        <v>0</v>
      </c>
      <c r="D184" s="916">
        <v>0</v>
      </c>
      <c r="E184" s="916">
        <v>0</v>
      </c>
      <c r="F184" s="913">
        <v>0</v>
      </c>
      <c r="G184" s="913">
        <v>0</v>
      </c>
      <c r="H184" s="913">
        <v>0</v>
      </c>
      <c r="I184" s="913">
        <v>0</v>
      </c>
      <c r="J184" s="913">
        <v>0</v>
      </c>
      <c r="K184" s="913">
        <v>0</v>
      </c>
      <c r="L184" s="913">
        <v>0</v>
      </c>
      <c r="M184" s="913">
        <v>0</v>
      </c>
      <c r="N184" s="913">
        <v>0</v>
      </c>
      <c r="O184" s="913">
        <v>0</v>
      </c>
      <c r="P184" s="913">
        <v>0</v>
      </c>
      <c r="Q184" s="913">
        <v>0</v>
      </c>
      <c r="R184" s="913">
        <v>0</v>
      </c>
      <c r="S184" s="913">
        <v>0</v>
      </c>
      <c r="T184" s="913">
        <f t="shared" si="18"/>
        <v>0</v>
      </c>
    </row>
    <row r="185" spans="2:20" hidden="1" x14ac:dyDescent="0.2">
      <c r="B185" s="3" t="s">
        <v>235</v>
      </c>
      <c r="C185" s="916">
        <v>0</v>
      </c>
      <c r="D185" s="916">
        <v>0</v>
      </c>
      <c r="E185" s="916">
        <v>0</v>
      </c>
      <c r="F185" s="913">
        <v>0</v>
      </c>
      <c r="G185" s="913">
        <v>0</v>
      </c>
      <c r="H185" s="913">
        <v>0</v>
      </c>
      <c r="I185" s="913">
        <v>0</v>
      </c>
      <c r="J185" s="913">
        <v>0</v>
      </c>
      <c r="K185" s="913">
        <v>0</v>
      </c>
      <c r="L185" s="913">
        <v>0</v>
      </c>
      <c r="M185" s="913">
        <v>0</v>
      </c>
      <c r="N185" s="913">
        <v>0</v>
      </c>
      <c r="O185" s="913">
        <v>0</v>
      </c>
      <c r="P185" s="913">
        <v>0</v>
      </c>
      <c r="Q185" s="913">
        <v>0</v>
      </c>
      <c r="R185" s="913">
        <v>0</v>
      </c>
      <c r="S185" s="913">
        <v>0</v>
      </c>
      <c r="T185" s="913">
        <f t="shared" si="18"/>
        <v>0</v>
      </c>
    </row>
    <row r="186" spans="2:20" hidden="1" x14ac:dyDescent="0.2">
      <c r="B186" t="s">
        <v>236</v>
      </c>
      <c r="C186" s="916">
        <v>0</v>
      </c>
      <c r="D186" s="916">
        <v>0</v>
      </c>
      <c r="E186" s="916">
        <v>0</v>
      </c>
      <c r="F186" s="913">
        <v>0</v>
      </c>
      <c r="G186" s="913">
        <v>0</v>
      </c>
      <c r="H186" s="913">
        <v>0</v>
      </c>
      <c r="I186" s="913">
        <v>0</v>
      </c>
      <c r="J186" s="913">
        <v>0</v>
      </c>
      <c r="K186" s="913">
        <v>0</v>
      </c>
      <c r="L186" s="913">
        <v>0</v>
      </c>
      <c r="M186" s="913">
        <v>0</v>
      </c>
      <c r="N186" s="913">
        <v>0</v>
      </c>
      <c r="O186" s="913">
        <v>0</v>
      </c>
      <c r="P186" s="913">
        <v>0</v>
      </c>
      <c r="Q186" s="913">
        <v>0</v>
      </c>
      <c r="R186" s="913">
        <v>0</v>
      </c>
      <c r="S186" s="913">
        <v>0</v>
      </c>
      <c r="T186" s="913">
        <f t="shared" si="18"/>
        <v>0</v>
      </c>
    </row>
    <row r="187" spans="2:20" hidden="1" x14ac:dyDescent="0.2">
      <c r="B187" t="s">
        <v>237</v>
      </c>
      <c r="C187" s="916">
        <v>0</v>
      </c>
      <c r="D187" s="916">
        <v>0</v>
      </c>
      <c r="E187" s="916">
        <v>0</v>
      </c>
      <c r="F187" s="913">
        <v>0</v>
      </c>
      <c r="G187" s="913">
        <v>0</v>
      </c>
      <c r="H187" s="913">
        <v>0</v>
      </c>
      <c r="I187" s="913">
        <v>0</v>
      </c>
      <c r="J187" s="913">
        <v>0</v>
      </c>
      <c r="K187" s="913">
        <v>0</v>
      </c>
      <c r="L187" s="913">
        <v>0</v>
      </c>
      <c r="M187" s="913">
        <v>0</v>
      </c>
      <c r="N187" s="913">
        <v>0</v>
      </c>
      <c r="O187" s="913">
        <v>0</v>
      </c>
      <c r="P187" s="913">
        <v>0</v>
      </c>
      <c r="Q187" s="913">
        <v>0</v>
      </c>
      <c r="R187" s="913">
        <v>0</v>
      </c>
      <c r="S187" s="913">
        <v>0</v>
      </c>
      <c r="T187" s="913">
        <f t="shared" si="18"/>
        <v>0</v>
      </c>
    </row>
    <row r="188" spans="2:20" hidden="1" x14ac:dyDescent="0.2">
      <c r="B188" t="s">
        <v>238</v>
      </c>
      <c r="C188" s="916">
        <v>0</v>
      </c>
      <c r="D188" s="916">
        <v>0</v>
      </c>
      <c r="E188" s="916">
        <v>0</v>
      </c>
      <c r="F188" s="913">
        <v>0</v>
      </c>
      <c r="G188" s="913">
        <v>0</v>
      </c>
      <c r="H188" s="913">
        <v>0</v>
      </c>
      <c r="I188" s="913">
        <v>0</v>
      </c>
      <c r="J188" s="913">
        <v>0</v>
      </c>
      <c r="K188" s="913">
        <v>0</v>
      </c>
      <c r="L188" s="913">
        <v>0</v>
      </c>
      <c r="M188" s="913">
        <v>0</v>
      </c>
      <c r="N188" s="913">
        <v>0</v>
      </c>
      <c r="O188" s="913">
        <v>0</v>
      </c>
      <c r="P188" s="913">
        <v>0</v>
      </c>
      <c r="Q188" s="913">
        <v>0</v>
      </c>
      <c r="R188" s="913">
        <v>0</v>
      </c>
      <c r="S188" s="913">
        <v>0</v>
      </c>
      <c r="T188" s="913">
        <f t="shared" si="18"/>
        <v>0</v>
      </c>
    </row>
    <row r="189" spans="2:20" hidden="1" x14ac:dyDescent="0.2">
      <c r="B189" t="s">
        <v>239</v>
      </c>
      <c r="C189" s="916">
        <v>0</v>
      </c>
      <c r="D189" s="916">
        <v>0</v>
      </c>
      <c r="E189" s="916">
        <v>0</v>
      </c>
      <c r="F189" s="913">
        <v>0</v>
      </c>
      <c r="G189" s="913">
        <v>0</v>
      </c>
      <c r="H189" s="913">
        <v>0</v>
      </c>
      <c r="I189" s="913">
        <v>0</v>
      </c>
      <c r="J189" s="913">
        <v>0</v>
      </c>
      <c r="K189" s="913">
        <v>0</v>
      </c>
      <c r="L189" s="913">
        <v>0</v>
      </c>
      <c r="M189" s="913">
        <v>0</v>
      </c>
      <c r="N189" s="913">
        <v>0</v>
      </c>
      <c r="O189" s="913">
        <v>0</v>
      </c>
      <c r="P189" s="913">
        <v>0</v>
      </c>
      <c r="Q189" s="913">
        <v>0</v>
      </c>
      <c r="R189" s="913">
        <v>0</v>
      </c>
      <c r="S189" s="913">
        <v>0</v>
      </c>
      <c r="T189" s="913">
        <f t="shared" si="18"/>
        <v>0</v>
      </c>
    </row>
    <row r="190" spans="2:20" hidden="1" x14ac:dyDescent="0.2">
      <c r="B190" t="s">
        <v>240</v>
      </c>
      <c r="C190" s="916">
        <v>0</v>
      </c>
      <c r="D190" s="916">
        <v>0</v>
      </c>
      <c r="E190" s="916">
        <v>0</v>
      </c>
      <c r="F190" s="913">
        <v>0</v>
      </c>
      <c r="G190" s="913">
        <v>0</v>
      </c>
      <c r="H190" s="913">
        <v>0</v>
      </c>
      <c r="I190" s="913">
        <v>0</v>
      </c>
      <c r="J190" s="913">
        <v>0</v>
      </c>
      <c r="K190" s="913">
        <v>0</v>
      </c>
      <c r="L190" s="913">
        <v>0</v>
      </c>
      <c r="M190" s="913">
        <v>0</v>
      </c>
      <c r="N190" s="913">
        <v>0</v>
      </c>
      <c r="O190" s="913">
        <v>0</v>
      </c>
      <c r="P190" s="913">
        <v>0</v>
      </c>
      <c r="Q190" s="913">
        <v>0</v>
      </c>
      <c r="R190" s="913">
        <v>0</v>
      </c>
      <c r="S190" s="913">
        <v>0</v>
      </c>
      <c r="T190" s="913">
        <f t="shared" si="18"/>
        <v>0</v>
      </c>
    </row>
    <row r="191" spans="2:20" hidden="1" x14ac:dyDescent="0.2">
      <c r="B191" t="s">
        <v>241</v>
      </c>
      <c r="C191" s="916">
        <v>0</v>
      </c>
      <c r="D191" s="916">
        <v>0</v>
      </c>
      <c r="E191" s="916">
        <v>0</v>
      </c>
      <c r="F191" s="913">
        <v>0</v>
      </c>
      <c r="G191" s="913">
        <v>0</v>
      </c>
      <c r="H191" s="913">
        <v>0</v>
      </c>
      <c r="I191" s="913">
        <v>0</v>
      </c>
      <c r="J191" s="913">
        <v>0</v>
      </c>
      <c r="K191" s="913">
        <v>0</v>
      </c>
      <c r="L191" s="913">
        <v>0</v>
      </c>
      <c r="M191" s="913">
        <v>0</v>
      </c>
      <c r="N191" s="913">
        <v>0</v>
      </c>
      <c r="O191" s="913">
        <v>0</v>
      </c>
      <c r="P191" s="913">
        <v>0</v>
      </c>
      <c r="Q191" s="913">
        <v>0</v>
      </c>
      <c r="R191" s="913">
        <v>0</v>
      </c>
      <c r="S191" s="913">
        <v>0</v>
      </c>
      <c r="T191" s="913">
        <f t="shared" si="18"/>
        <v>0</v>
      </c>
    </row>
    <row r="192" spans="2:20" hidden="1" x14ac:dyDescent="0.2">
      <c r="B192" t="s">
        <v>242</v>
      </c>
      <c r="C192" s="916">
        <v>0</v>
      </c>
      <c r="D192" s="916">
        <v>0</v>
      </c>
      <c r="E192" s="916">
        <v>0</v>
      </c>
      <c r="F192" s="913">
        <v>0</v>
      </c>
      <c r="G192" s="913">
        <v>0</v>
      </c>
      <c r="H192" s="913">
        <v>0</v>
      </c>
      <c r="I192" s="913">
        <v>0</v>
      </c>
      <c r="J192" s="913">
        <v>0</v>
      </c>
      <c r="K192" s="913">
        <v>0</v>
      </c>
      <c r="L192" s="913">
        <v>0</v>
      </c>
      <c r="M192" s="913">
        <v>0</v>
      </c>
      <c r="N192" s="913">
        <v>0</v>
      </c>
      <c r="O192" s="913">
        <v>0</v>
      </c>
      <c r="P192" s="913">
        <v>0</v>
      </c>
      <c r="Q192" s="913">
        <v>0</v>
      </c>
      <c r="R192" s="913">
        <v>0</v>
      </c>
      <c r="S192" s="913">
        <v>0</v>
      </c>
      <c r="T192" s="913">
        <f t="shared" si="18"/>
        <v>0</v>
      </c>
    </row>
    <row r="193" spans="2:20" hidden="1" x14ac:dyDescent="0.2">
      <c r="B193" t="s">
        <v>243</v>
      </c>
      <c r="C193" s="916">
        <v>0</v>
      </c>
      <c r="D193" s="916">
        <v>0</v>
      </c>
      <c r="E193" s="916">
        <v>0</v>
      </c>
      <c r="F193" s="913">
        <v>0</v>
      </c>
      <c r="G193" s="913">
        <v>0</v>
      </c>
      <c r="H193" s="913">
        <v>0</v>
      </c>
      <c r="I193" s="913">
        <v>0</v>
      </c>
      <c r="J193" s="913">
        <v>0</v>
      </c>
      <c r="K193" s="913">
        <v>0</v>
      </c>
      <c r="L193" s="913">
        <v>0</v>
      </c>
      <c r="M193" s="913">
        <v>0</v>
      </c>
      <c r="N193" s="913">
        <v>0</v>
      </c>
      <c r="O193" s="913">
        <v>0</v>
      </c>
      <c r="P193" s="913">
        <v>0</v>
      </c>
      <c r="Q193" s="913">
        <v>0</v>
      </c>
      <c r="R193" s="913">
        <v>0</v>
      </c>
      <c r="S193" s="913">
        <v>0</v>
      </c>
      <c r="T193" s="913">
        <f t="shared" si="18"/>
        <v>0</v>
      </c>
    </row>
    <row r="194" spans="2:20" hidden="1" x14ac:dyDescent="0.2">
      <c r="B194" t="s">
        <v>244</v>
      </c>
      <c r="C194" s="916">
        <v>0</v>
      </c>
      <c r="D194" s="916">
        <v>0</v>
      </c>
      <c r="E194" s="916">
        <v>0</v>
      </c>
      <c r="F194" s="913">
        <v>0</v>
      </c>
      <c r="G194" s="913">
        <v>0</v>
      </c>
      <c r="H194" s="913">
        <v>0</v>
      </c>
      <c r="I194" s="913">
        <v>0</v>
      </c>
      <c r="J194" s="913">
        <v>0</v>
      </c>
      <c r="K194" s="913">
        <v>0</v>
      </c>
      <c r="L194" s="913">
        <v>0</v>
      </c>
      <c r="M194" s="913">
        <v>0</v>
      </c>
      <c r="N194" s="913">
        <v>0</v>
      </c>
      <c r="O194" s="913">
        <v>0</v>
      </c>
      <c r="P194" s="913">
        <v>0</v>
      </c>
      <c r="Q194" s="913">
        <v>0</v>
      </c>
      <c r="R194" s="913">
        <v>0</v>
      </c>
      <c r="S194" s="913">
        <v>0</v>
      </c>
      <c r="T194" s="913">
        <f t="shared" si="18"/>
        <v>0</v>
      </c>
    </row>
    <row r="195" spans="2:20" hidden="1" x14ac:dyDescent="0.2">
      <c r="B195" s="2" t="s">
        <v>245</v>
      </c>
      <c r="C195" s="916"/>
      <c r="D195" s="916"/>
      <c r="E195" s="916"/>
      <c r="F195" s="913"/>
      <c r="G195" s="913"/>
      <c r="H195" s="913"/>
      <c r="I195" s="913"/>
      <c r="J195" s="913"/>
      <c r="K195" s="913"/>
      <c r="L195" s="913"/>
      <c r="M195" s="913"/>
      <c r="N195" s="913"/>
      <c r="O195" s="913"/>
      <c r="P195" s="913"/>
      <c r="Q195" s="913"/>
      <c r="R195" s="913"/>
      <c r="S195" s="913"/>
      <c r="T195" s="913">
        <f t="shared" si="18"/>
        <v>0</v>
      </c>
    </row>
    <row r="196" spans="2:20" hidden="1" x14ac:dyDescent="0.2">
      <c r="B196" t="s">
        <v>246</v>
      </c>
      <c r="C196" s="916">
        <v>0</v>
      </c>
      <c r="D196" s="916">
        <v>0</v>
      </c>
      <c r="E196" s="916">
        <v>0</v>
      </c>
      <c r="F196" s="913">
        <v>0</v>
      </c>
      <c r="G196" s="913">
        <v>0</v>
      </c>
      <c r="H196" s="913">
        <v>0</v>
      </c>
      <c r="I196" s="913">
        <v>0</v>
      </c>
      <c r="J196" s="913">
        <v>0</v>
      </c>
      <c r="K196" s="913">
        <v>0</v>
      </c>
      <c r="L196" s="913">
        <v>0</v>
      </c>
      <c r="M196" s="913">
        <v>0</v>
      </c>
      <c r="N196" s="913">
        <v>0</v>
      </c>
      <c r="O196" s="913">
        <v>0</v>
      </c>
      <c r="P196" s="913">
        <v>0</v>
      </c>
      <c r="Q196" s="913">
        <v>0</v>
      </c>
      <c r="R196" s="913">
        <v>0</v>
      </c>
      <c r="S196" s="913">
        <v>0</v>
      </c>
      <c r="T196" s="913">
        <f t="shared" si="18"/>
        <v>0</v>
      </c>
    </row>
    <row r="197" spans="2:20" hidden="1" x14ac:dyDescent="0.2">
      <c r="B197" t="s">
        <v>247</v>
      </c>
      <c r="C197" s="916">
        <v>0</v>
      </c>
      <c r="D197" s="916">
        <v>0</v>
      </c>
      <c r="E197" s="916">
        <v>0</v>
      </c>
      <c r="F197" s="913">
        <v>0</v>
      </c>
      <c r="G197" s="913">
        <v>0</v>
      </c>
      <c r="H197" s="913">
        <v>0</v>
      </c>
      <c r="I197" s="913">
        <v>0</v>
      </c>
      <c r="J197" s="913">
        <v>0</v>
      </c>
      <c r="K197" s="913">
        <v>0</v>
      </c>
      <c r="L197" s="913">
        <v>0</v>
      </c>
      <c r="M197" s="913">
        <v>0</v>
      </c>
      <c r="N197" s="913">
        <v>0</v>
      </c>
      <c r="O197" s="913">
        <v>0</v>
      </c>
      <c r="P197" s="913">
        <v>0</v>
      </c>
      <c r="Q197" s="913">
        <v>0</v>
      </c>
      <c r="R197" s="913">
        <v>0</v>
      </c>
      <c r="S197" s="913">
        <v>0</v>
      </c>
      <c r="T197" s="913">
        <f t="shared" si="18"/>
        <v>0</v>
      </c>
    </row>
    <row r="198" spans="2:20" hidden="1" x14ac:dyDescent="0.2">
      <c r="B198" t="s">
        <v>248</v>
      </c>
      <c r="C198" s="916">
        <v>0</v>
      </c>
      <c r="D198" s="916">
        <v>0</v>
      </c>
      <c r="E198" s="916">
        <v>0</v>
      </c>
      <c r="F198" s="913">
        <v>0</v>
      </c>
      <c r="G198" s="913">
        <v>0</v>
      </c>
      <c r="H198" s="913">
        <v>0</v>
      </c>
      <c r="I198" s="913">
        <v>0</v>
      </c>
      <c r="J198" s="913">
        <v>0</v>
      </c>
      <c r="K198" s="913">
        <v>0</v>
      </c>
      <c r="L198" s="913">
        <v>0</v>
      </c>
      <c r="M198" s="913">
        <v>0</v>
      </c>
      <c r="N198" s="913">
        <v>0</v>
      </c>
      <c r="O198" s="913">
        <v>0</v>
      </c>
      <c r="P198" s="913">
        <v>0</v>
      </c>
      <c r="Q198" s="913">
        <v>0</v>
      </c>
      <c r="R198" s="913">
        <v>0</v>
      </c>
      <c r="S198" s="913">
        <v>0</v>
      </c>
      <c r="T198" s="913">
        <f t="shared" si="18"/>
        <v>0</v>
      </c>
    </row>
    <row r="199" spans="2:20" hidden="1" x14ac:dyDescent="0.2">
      <c r="B199" t="s">
        <v>249</v>
      </c>
      <c r="C199" s="916">
        <v>0</v>
      </c>
      <c r="D199" s="916">
        <v>0</v>
      </c>
      <c r="E199" s="916">
        <v>0</v>
      </c>
      <c r="F199" s="913">
        <v>0</v>
      </c>
      <c r="G199" s="913">
        <v>0</v>
      </c>
      <c r="H199" s="913">
        <v>0</v>
      </c>
      <c r="I199" s="913">
        <v>0</v>
      </c>
      <c r="J199" s="913">
        <v>0</v>
      </c>
      <c r="K199" s="913">
        <v>0</v>
      </c>
      <c r="L199" s="913">
        <v>0</v>
      </c>
      <c r="M199" s="913">
        <v>0</v>
      </c>
      <c r="N199" s="913">
        <v>0</v>
      </c>
      <c r="O199" s="913">
        <v>0</v>
      </c>
      <c r="P199" s="913">
        <v>0</v>
      </c>
      <c r="Q199" s="913">
        <v>0</v>
      </c>
      <c r="R199" s="913">
        <v>0</v>
      </c>
      <c r="S199" s="913">
        <v>0</v>
      </c>
      <c r="T199" s="913">
        <f t="shared" si="18"/>
        <v>0</v>
      </c>
    </row>
    <row r="200" spans="2:20" hidden="1" x14ac:dyDescent="0.2">
      <c r="B200" t="s">
        <v>250</v>
      </c>
      <c r="C200" s="916">
        <v>0</v>
      </c>
      <c r="D200" s="916">
        <v>0</v>
      </c>
      <c r="E200" s="916">
        <v>0</v>
      </c>
      <c r="F200" s="913">
        <v>0</v>
      </c>
      <c r="G200" s="913">
        <v>0</v>
      </c>
      <c r="H200" s="913">
        <v>0</v>
      </c>
      <c r="I200" s="913">
        <v>0</v>
      </c>
      <c r="J200" s="913">
        <v>0</v>
      </c>
      <c r="K200" s="913">
        <v>0</v>
      </c>
      <c r="L200" s="913">
        <v>0</v>
      </c>
      <c r="M200" s="913">
        <v>0</v>
      </c>
      <c r="N200" s="913">
        <v>0</v>
      </c>
      <c r="O200" s="913">
        <v>0</v>
      </c>
      <c r="P200" s="913">
        <v>0</v>
      </c>
      <c r="Q200" s="913">
        <v>0</v>
      </c>
      <c r="R200" s="913">
        <v>0</v>
      </c>
      <c r="S200" s="913">
        <v>0</v>
      </c>
      <c r="T200" s="913">
        <f t="shared" si="18"/>
        <v>0</v>
      </c>
    </row>
    <row r="201" spans="2:20" hidden="1" x14ac:dyDescent="0.2">
      <c r="B201" t="s">
        <v>251</v>
      </c>
      <c r="C201" s="916">
        <v>0</v>
      </c>
      <c r="D201" s="916">
        <v>0</v>
      </c>
      <c r="E201" s="916">
        <v>0</v>
      </c>
      <c r="F201" s="913">
        <v>0</v>
      </c>
      <c r="G201" s="913">
        <v>0</v>
      </c>
      <c r="H201" s="913">
        <v>0</v>
      </c>
      <c r="I201" s="913">
        <v>0</v>
      </c>
      <c r="J201" s="913">
        <v>0</v>
      </c>
      <c r="K201" s="913">
        <v>0</v>
      </c>
      <c r="L201" s="913">
        <v>0</v>
      </c>
      <c r="M201" s="913">
        <v>0</v>
      </c>
      <c r="N201" s="913">
        <v>0</v>
      </c>
      <c r="O201" s="913">
        <v>0</v>
      </c>
      <c r="P201" s="913">
        <v>0</v>
      </c>
      <c r="Q201" s="913">
        <v>0</v>
      </c>
      <c r="R201" s="913">
        <v>0</v>
      </c>
      <c r="S201" s="913">
        <v>0</v>
      </c>
      <c r="T201" s="913">
        <f t="shared" si="18"/>
        <v>0</v>
      </c>
    </row>
    <row r="202" spans="2:20" hidden="1" x14ac:dyDescent="0.2">
      <c r="B202" t="s">
        <v>252</v>
      </c>
      <c r="C202" s="916">
        <v>0</v>
      </c>
      <c r="D202" s="916">
        <v>0</v>
      </c>
      <c r="E202" s="916">
        <v>0</v>
      </c>
      <c r="F202" s="913">
        <v>0</v>
      </c>
      <c r="G202" s="913">
        <v>0</v>
      </c>
      <c r="H202" s="913">
        <v>0</v>
      </c>
      <c r="I202" s="913">
        <v>0</v>
      </c>
      <c r="J202" s="913">
        <v>0</v>
      </c>
      <c r="K202" s="913">
        <v>0</v>
      </c>
      <c r="L202" s="913">
        <v>0</v>
      </c>
      <c r="M202" s="913">
        <v>0</v>
      </c>
      <c r="N202" s="913">
        <v>0</v>
      </c>
      <c r="O202" s="913">
        <v>0</v>
      </c>
      <c r="P202" s="913">
        <v>0</v>
      </c>
      <c r="Q202" s="913">
        <v>0</v>
      </c>
      <c r="R202" s="913">
        <v>0</v>
      </c>
      <c r="S202" s="913">
        <v>0</v>
      </c>
      <c r="T202" s="913">
        <f t="shared" si="18"/>
        <v>0</v>
      </c>
    </row>
    <row r="203" spans="2:20" hidden="1" x14ac:dyDescent="0.2">
      <c r="B203" t="s">
        <v>253</v>
      </c>
      <c r="C203" s="916">
        <v>0</v>
      </c>
      <c r="D203" s="916">
        <v>0</v>
      </c>
      <c r="E203" s="916">
        <v>0</v>
      </c>
      <c r="F203" s="913">
        <v>0</v>
      </c>
      <c r="G203" s="913">
        <v>0</v>
      </c>
      <c r="H203" s="913">
        <v>0</v>
      </c>
      <c r="I203" s="913">
        <v>0</v>
      </c>
      <c r="J203" s="913">
        <v>0</v>
      </c>
      <c r="K203" s="913">
        <v>0</v>
      </c>
      <c r="L203" s="913">
        <v>0</v>
      </c>
      <c r="M203" s="913">
        <v>0</v>
      </c>
      <c r="N203" s="913">
        <v>0</v>
      </c>
      <c r="O203" s="913">
        <v>0</v>
      </c>
      <c r="P203" s="913">
        <v>0</v>
      </c>
      <c r="Q203" s="913">
        <v>0</v>
      </c>
      <c r="R203" s="913">
        <v>0</v>
      </c>
      <c r="S203" s="913">
        <v>0</v>
      </c>
      <c r="T203" s="913">
        <f t="shared" si="18"/>
        <v>0</v>
      </c>
    </row>
    <row r="204" spans="2:20" hidden="1" x14ac:dyDescent="0.2">
      <c r="B204" t="s">
        <v>254</v>
      </c>
      <c r="C204" s="916">
        <v>0</v>
      </c>
      <c r="D204" s="916">
        <v>0</v>
      </c>
      <c r="E204" s="916">
        <v>0</v>
      </c>
      <c r="F204" s="913">
        <v>0</v>
      </c>
      <c r="G204" s="913">
        <v>0</v>
      </c>
      <c r="H204" s="913">
        <v>0</v>
      </c>
      <c r="I204" s="913">
        <v>0</v>
      </c>
      <c r="J204" s="913">
        <v>0</v>
      </c>
      <c r="K204" s="913">
        <v>0</v>
      </c>
      <c r="L204" s="913">
        <v>0</v>
      </c>
      <c r="M204" s="913">
        <v>0</v>
      </c>
      <c r="N204" s="913">
        <v>0</v>
      </c>
      <c r="O204" s="913">
        <v>0</v>
      </c>
      <c r="P204" s="913">
        <v>0</v>
      </c>
      <c r="Q204" s="913">
        <v>0</v>
      </c>
      <c r="R204" s="913">
        <v>0</v>
      </c>
      <c r="S204" s="913">
        <v>0</v>
      </c>
      <c r="T204" s="913">
        <f t="shared" si="18"/>
        <v>0</v>
      </c>
    </row>
    <row r="205" spans="2:20" hidden="1" x14ac:dyDescent="0.2">
      <c r="B205" t="s">
        <v>255</v>
      </c>
      <c r="C205" s="916">
        <v>0</v>
      </c>
      <c r="D205" s="916">
        <v>0</v>
      </c>
      <c r="E205" s="916">
        <v>0</v>
      </c>
      <c r="F205" s="913">
        <v>0</v>
      </c>
      <c r="G205" s="913">
        <v>0</v>
      </c>
      <c r="H205" s="913">
        <v>0</v>
      </c>
      <c r="I205" s="913">
        <v>0</v>
      </c>
      <c r="J205" s="913">
        <v>0</v>
      </c>
      <c r="K205" s="913">
        <v>0</v>
      </c>
      <c r="L205" s="913">
        <v>0</v>
      </c>
      <c r="M205" s="913">
        <v>0</v>
      </c>
      <c r="N205" s="913">
        <v>0</v>
      </c>
      <c r="O205" s="913">
        <v>0</v>
      </c>
      <c r="P205" s="913">
        <v>0</v>
      </c>
      <c r="Q205" s="913">
        <v>0</v>
      </c>
      <c r="R205" s="913">
        <v>0</v>
      </c>
      <c r="S205" s="913">
        <v>0</v>
      </c>
      <c r="T205" s="913">
        <f t="shared" si="18"/>
        <v>0</v>
      </c>
    </row>
    <row r="206" spans="2:20" x14ac:dyDescent="0.2">
      <c r="B206" t="s">
        <v>256</v>
      </c>
      <c r="C206" s="916">
        <v>0</v>
      </c>
      <c r="D206" s="916">
        <v>0</v>
      </c>
      <c r="E206" s="916">
        <v>0</v>
      </c>
      <c r="F206" s="913">
        <v>0</v>
      </c>
      <c r="G206" s="913">
        <v>0</v>
      </c>
      <c r="H206" s="913">
        <v>0</v>
      </c>
      <c r="I206" s="913">
        <v>0</v>
      </c>
      <c r="J206" s="913">
        <v>0</v>
      </c>
      <c r="K206" s="913">
        <v>0</v>
      </c>
      <c r="L206" s="913">
        <v>0</v>
      </c>
      <c r="M206" s="913">
        <v>0</v>
      </c>
      <c r="N206" s="913">
        <v>0</v>
      </c>
      <c r="O206" s="913">
        <v>0</v>
      </c>
      <c r="P206" s="913">
        <v>13882926</v>
      </c>
      <c r="Q206" s="913">
        <v>0</v>
      </c>
      <c r="R206" s="913">
        <v>0</v>
      </c>
      <c r="S206" s="913">
        <v>0</v>
      </c>
      <c r="T206" s="913">
        <f t="shared" si="18"/>
        <v>13882926</v>
      </c>
    </row>
    <row r="207" spans="2:20" hidden="1" x14ac:dyDescent="0.2">
      <c r="B207" t="s">
        <v>257</v>
      </c>
      <c r="C207" s="916">
        <v>0</v>
      </c>
      <c r="D207" s="916">
        <v>0</v>
      </c>
      <c r="E207" s="916">
        <v>0</v>
      </c>
      <c r="F207" s="913">
        <v>0</v>
      </c>
      <c r="G207" s="913">
        <v>0</v>
      </c>
      <c r="H207" s="913">
        <v>0</v>
      </c>
      <c r="I207" s="913">
        <v>0</v>
      </c>
      <c r="J207" s="913">
        <v>0</v>
      </c>
      <c r="K207" s="913">
        <v>0</v>
      </c>
      <c r="L207" s="913">
        <v>0</v>
      </c>
      <c r="M207" s="913">
        <v>0</v>
      </c>
      <c r="N207" s="913">
        <v>0</v>
      </c>
      <c r="O207" s="913">
        <v>0</v>
      </c>
      <c r="P207" s="913">
        <v>0</v>
      </c>
      <c r="Q207" s="913">
        <v>0</v>
      </c>
      <c r="R207" s="913">
        <v>0</v>
      </c>
      <c r="S207" s="913">
        <v>0</v>
      </c>
      <c r="T207" s="913">
        <f t="shared" si="18"/>
        <v>0</v>
      </c>
    </row>
    <row r="208" spans="2:20" hidden="1" x14ac:dyDescent="0.2">
      <c r="B208" t="s">
        <v>258</v>
      </c>
      <c r="C208" s="916">
        <v>0</v>
      </c>
      <c r="D208" s="916">
        <v>0</v>
      </c>
      <c r="E208" s="916">
        <v>0</v>
      </c>
      <c r="F208" s="913">
        <v>0</v>
      </c>
      <c r="G208" s="913">
        <v>0</v>
      </c>
      <c r="H208" s="913">
        <v>0</v>
      </c>
      <c r="I208" s="913">
        <v>0</v>
      </c>
      <c r="J208" s="913">
        <v>0</v>
      </c>
      <c r="K208" s="913">
        <v>0</v>
      </c>
      <c r="L208" s="913">
        <v>0</v>
      </c>
      <c r="M208" s="913">
        <v>0</v>
      </c>
      <c r="N208" s="913">
        <v>0</v>
      </c>
      <c r="O208" s="913">
        <v>0</v>
      </c>
      <c r="P208" s="913">
        <v>0</v>
      </c>
      <c r="Q208" s="913">
        <v>0</v>
      </c>
      <c r="R208" s="913">
        <v>0</v>
      </c>
      <c r="S208" s="913">
        <v>0</v>
      </c>
      <c r="T208" s="913">
        <f t="shared" si="18"/>
        <v>0</v>
      </c>
    </row>
    <row r="209" spans="2:20" x14ac:dyDescent="0.2">
      <c r="B209" t="s">
        <v>259</v>
      </c>
      <c r="C209" s="916">
        <v>0</v>
      </c>
      <c r="D209" s="916">
        <v>0</v>
      </c>
      <c r="E209" s="916">
        <v>0</v>
      </c>
      <c r="F209" s="913">
        <v>0</v>
      </c>
      <c r="G209" s="913">
        <v>0</v>
      </c>
      <c r="H209" s="913">
        <v>0</v>
      </c>
      <c r="I209" s="913">
        <v>0</v>
      </c>
      <c r="J209" s="913">
        <v>0</v>
      </c>
      <c r="K209" s="913">
        <v>0</v>
      </c>
      <c r="L209" s="913">
        <v>0</v>
      </c>
      <c r="M209" s="913">
        <v>0</v>
      </c>
      <c r="N209" s="913">
        <v>0</v>
      </c>
      <c r="O209" s="913">
        <v>0</v>
      </c>
      <c r="P209" s="913">
        <v>0</v>
      </c>
      <c r="Q209" s="913">
        <v>0</v>
      </c>
      <c r="R209" s="913">
        <v>457380</v>
      </c>
      <c r="S209" s="913">
        <v>0</v>
      </c>
      <c r="T209" s="913">
        <f t="shared" si="18"/>
        <v>457380</v>
      </c>
    </row>
    <row r="210" spans="2:20" x14ac:dyDescent="0.2">
      <c r="B210" t="s">
        <v>260</v>
      </c>
      <c r="C210" s="916">
        <v>0</v>
      </c>
      <c r="D210" s="916">
        <v>0</v>
      </c>
      <c r="E210" s="916">
        <v>0</v>
      </c>
      <c r="F210" s="913">
        <v>0</v>
      </c>
      <c r="G210" s="913">
        <v>0</v>
      </c>
      <c r="H210" s="913">
        <v>0</v>
      </c>
      <c r="I210" s="913">
        <v>0</v>
      </c>
      <c r="J210" s="913">
        <v>0</v>
      </c>
      <c r="K210" s="913">
        <v>0</v>
      </c>
      <c r="L210" s="913">
        <v>0</v>
      </c>
      <c r="M210" s="913">
        <v>0</v>
      </c>
      <c r="N210" s="913">
        <v>0</v>
      </c>
      <c r="O210" s="913">
        <v>0</v>
      </c>
      <c r="P210" s="913">
        <v>0</v>
      </c>
      <c r="Q210" s="913">
        <v>1918189</v>
      </c>
      <c r="R210" s="913">
        <v>0</v>
      </c>
      <c r="S210" s="913">
        <v>0</v>
      </c>
      <c r="T210" s="913">
        <f t="shared" si="18"/>
        <v>1918189</v>
      </c>
    </row>
    <row r="211" spans="2:20" x14ac:dyDescent="0.2">
      <c r="C211" s="916"/>
      <c r="D211" s="916"/>
      <c r="E211" s="916"/>
      <c r="F211" s="916"/>
      <c r="G211" s="916"/>
      <c r="H211" s="916"/>
      <c r="I211" s="916"/>
      <c r="J211" s="916"/>
      <c r="K211" s="916"/>
      <c r="L211" s="916"/>
      <c r="M211" s="916"/>
      <c r="N211" s="916"/>
      <c r="O211" s="916"/>
      <c r="P211" s="916"/>
      <c r="Q211" s="916"/>
      <c r="R211" s="916"/>
      <c r="S211" s="916"/>
      <c r="T211" s="916">
        <f t="shared" si="18"/>
        <v>0</v>
      </c>
    </row>
  </sheetData>
  <pageMargins left="0.7" right="0.7" top="0.75" bottom="0.75" header="0.3" footer="0.3"/>
  <pageSetup scale="52" orientation="portrait" r:id="rId1"/>
  <colBreaks count="2" manualBreakCount="2">
    <brk id="7" max="1048575" man="1"/>
    <brk id="15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6E56F-935C-416B-BD1B-1BDFB6DF0285}">
  <sheetPr>
    <tabColor rgb="FFFF0000"/>
  </sheetPr>
  <dimension ref="A1:I85"/>
  <sheetViews>
    <sheetView showGridLines="0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62" activeCellId="5" sqref="I8:I9 I17 I20 I28 I48 I62"/>
    </sheetView>
  </sheetViews>
  <sheetFormatPr defaultColWidth="9.140625" defaultRowHeight="14.25" x14ac:dyDescent="0.2"/>
  <cols>
    <col min="1" max="1" width="3" style="62" customWidth="1"/>
    <col min="2" max="2" width="12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55.7109375" style="77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601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602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575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498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>
        <v>0</v>
      </c>
      <c r="I7" s="498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14985000</v>
      </c>
      <c r="I8" s="498" t="s">
        <v>603</v>
      </c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>
        <v>800000</v>
      </c>
      <c r="I9" s="498" t="s">
        <v>603</v>
      </c>
    </row>
    <row r="10" spans="1:9" hidden="1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>
        <v>0</v>
      </c>
      <c r="I10" s="498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91">
        <v>0</v>
      </c>
      <c r="I11" s="498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0</v>
      </c>
      <c r="G12" s="90">
        <v>0</v>
      </c>
      <c r="H12" s="91">
        <v>0</v>
      </c>
      <c r="I12" s="498"/>
    </row>
    <row r="13" spans="1:9" hidden="1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0</v>
      </c>
      <c r="G13" s="90">
        <v>0</v>
      </c>
      <c r="H13" s="91">
        <v>0</v>
      </c>
      <c r="I13" s="498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>
        <v>0</v>
      </c>
      <c r="I14" s="498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91">
        <v>0</v>
      </c>
      <c r="I15" s="498"/>
    </row>
    <row r="16" spans="1:9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0</v>
      </c>
      <c r="G16" s="90">
        <v>0</v>
      </c>
      <c r="H16" s="91">
        <v>25000</v>
      </c>
      <c r="I16" s="498"/>
    </row>
    <row r="17" spans="1:9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>
        <v>72000</v>
      </c>
      <c r="I17" s="498" t="s">
        <v>604</v>
      </c>
    </row>
    <row r="18" spans="1:9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0</v>
      </c>
      <c r="G18" s="90">
        <v>0</v>
      </c>
      <c r="H18" s="91">
        <v>992435</v>
      </c>
      <c r="I18" s="498"/>
    </row>
    <row r="19" spans="1:9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>
        <v>0</v>
      </c>
      <c r="G19" s="90">
        <v>0</v>
      </c>
      <c r="H19" s="91">
        <v>221426</v>
      </c>
      <c r="I19" s="498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0</v>
      </c>
      <c r="G20" s="90">
        <v>0</v>
      </c>
      <c r="H20" s="91">
        <v>405850</v>
      </c>
      <c r="I20" s="498" t="s">
        <v>605</v>
      </c>
    </row>
    <row r="21" spans="1:9" hidden="1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>
        <v>0</v>
      </c>
      <c r="G21" s="90">
        <v>0</v>
      </c>
      <c r="H21" s="91">
        <v>0</v>
      </c>
      <c r="I21" s="498"/>
    </row>
    <row r="22" spans="1:9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0</v>
      </c>
      <c r="G22" s="90">
        <v>0</v>
      </c>
      <c r="H22" s="91">
        <v>968311</v>
      </c>
      <c r="I22" s="498"/>
    </row>
    <row r="23" spans="1:9" hidden="1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>
        <v>0</v>
      </c>
      <c r="G23" s="90">
        <v>0</v>
      </c>
      <c r="H23" s="91">
        <v>0</v>
      </c>
      <c r="I23" s="498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>
        <v>0</v>
      </c>
      <c r="I24" s="498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>
        <v>0</v>
      </c>
      <c r="I25" s="498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>
        <v>0</v>
      </c>
      <c r="I26" s="498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>
        <v>0</v>
      </c>
      <c r="I27" s="498"/>
    </row>
    <row r="28" spans="1:9" ht="28.5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>
        <v>0</v>
      </c>
      <c r="G28" s="90">
        <v>0</v>
      </c>
      <c r="H28" s="91">
        <v>14220000</v>
      </c>
      <c r="I28" s="498" t="s">
        <v>606</v>
      </c>
    </row>
    <row r="29" spans="1:9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>
        <v>0</v>
      </c>
      <c r="G29" s="90">
        <v>0</v>
      </c>
      <c r="H29" s="91">
        <v>25000</v>
      </c>
      <c r="I29" s="498"/>
    </row>
    <row r="30" spans="1:9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0</v>
      </c>
      <c r="G30" s="90">
        <v>0</v>
      </c>
      <c r="H30" s="91">
        <v>137143</v>
      </c>
      <c r="I30" s="498"/>
    </row>
    <row r="31" spans="1:9" hidden="1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0</v>
      </c>
      <c r="G31" s="90">
        <v>0</v>
      </c>
      <c r="H31" s="91">
        <v>0</v>
      </c>
      <c r="I31" s="498"/>
    </row>
    <row r="32" spans="1:9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0</v>
      </c>
      <c r="G32" s="90">
        <v>0</v>
      </c>
      <c r="H32" s="91">
        <v>207068</v>
      </c>
      <c r="I32" s="498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0</v>
      </c>
      <c r="G33" s="104">
        <f>SUM(G6:G32)</f>
        <v>0</v>
      </c>
      <c r="H33" s="106">
        <f>SUM(H6:H32)</f>
        <v>33059233</v>
      </c>
      <c r="I33" s="498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498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>
        <v>0</v>
      </c>
      <c r="G35" s="90">
        <v>0</v>
      </c>
      <c r="H35" s="91">
        <v>0</v>
      </c>
      <c r="I35" s="498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70642330.215614974</v>
      </c>
      <c r="G36" s="90">
        <v>0</v>
      </c>
      <c r="H36" s="91"/>
      <c r="I36" s="50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>
        <v>0</v>
      </c>
      <c r="G37" s="90">
        <v>0</v>
      </c>
      <c r="H37" s="91"/>
      <c r="I37" s="498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12215730.341446349</v>
      </c>
      <c r="G38" s="90">
        <v>0</v>
      </c>
      <c r="H38" s="91"/>
      <c r="I38" s="50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1594261.3190400242</v>
      </c>
      <c r="G39" s="90">
        <v>0</v>
      </c>
      <c r="H39" s="91"/>
      <c r="I39" s="498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1006354.1104840533</v>
      </c>
      <c r="G40" s="90">
        <v>0</v>
      </c>
      <c r="H40" s="91"/>
      <c r="I40" s="498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>
        <v>364782.34818481846</v>
      </c>
      <c r="G41" s="90">
        <v>0</v>
      </c>
      <c r="H41" s="91"/>
      <c r="I41" s="498"/>
    </row>
    <row r="42" spans="1:9" s="130" customFormat="1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/>
      <c r="G42" s="306">
        <v>0</v>
      </c>
      <c r="H42" s="307">
        <v>2789648</v>
      </c>
      <c r="I42" s="129"/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>
        <v>0</v>
      </c>
      <c r="G43" s="90">
        <v>0</v>
      </c>
      <c r="H43" s="91">
        <v>0</v>
      </c>
      <c r="I43" s="498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5091412</v>
      </c>
      <c r="G44" s="90">
        <v>0</v>
      </c>
      <c r="H44" s="91"/>
      <c r="I44" s="498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>
        <v>0</v>
      </c>
      <c r="G45" s="90">
        <v>0</v>
      </c>
      <c r="H45" s="91">
        <v>206027</v>
      </c>
      <c r="I45" s="498"/>
    </row>
    <row r="46" spans="1:9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>
        <v>0</v>
      </c>
      <c r="G46" s="90">
        <v>0</v>
      </c>
      <c r="H46" s="91">
        <v>0</v>
      </c>
      <c r="I46" s="498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>
        <v>0</v>
      </c>
      <c r="G47" s="90">
        <v>0</v>
      </c>
      <c r="H47" s="91">
        <v>0</v>
      </c>
      <c r="I47" s="501"/>
    </row>
    <row r="48" spans="1:9" x14ac:dyDescent="0.2">
      <c r="A48" s="96"/>
      <c r="B48" s="134"/>
      <c r="C48" s="95" t="s">
        <v>607</v>
      </c>
      <c r="D48" s="88">
        <v>0</v>
      </c>
      <c r="E48" s="88">
        <v>0</v>
      </c>
      <c r="F48" s="89">
        <v>0</v>
      </c>
      <c r="G48" s="90">
        <v>0</v>
      </c>
      <c r="H48" s="91">
        <v>8069</v>
      </c>
      <c r="I48" s="498" t="s">
        <v>608</v>
      </c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90914870.334770232</v>
      </c>
      <c r="G49" s="104">
        <f>SUM(G34:G48)</f>
        <v>0</v>
      </c>
      <c r="H49" s="106">
        <f>SUM(H34:H48)</f>
        <v>3003744</v>
      </c>
      <c r="I49" s="502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503"/>
    </row>
    <row r="51" spans="1:9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0</v>
      </c>
      <c r="G51" s="143">
        <v>0</v>
      </c>
      <c r="H51" s="111">
        <v>1950000</v>
      </c>
      <c r="I51" s="504"/>
    </row>
    <row r="52" spans="1:9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>
        <v>0</v>
      </c>
      <c r="G52" s="143">
        <v>0</v>
      </c>
      <c r="H52" s="111">
        <v>6000</v>
      </c>
      <c r="I52" s="505"/>
    </row>
    <row r="53" spans="1:9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>
        <v>0</v>
      </c>
      <c r="G53" s="143">
        <v>0</v>
      </c>
      <c r="H53" s="111">
        <v>259703</v>
      </c>
      <c r="I53" s="498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v>0</v>
      </c>
      <c r="G54" s="143">
        <v>0</v>
      </c>
      <c r="H54" s="111">
        <v>5692812</v>
      </c>
      <c r="I54" s="498"/>
    </row>
    <row r="55" spans="1:9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>
        <v>0</v>
      </c>
      <c r="G55" s="143">
        <v>0</v>
      </c>
      <c r="H55" s="111">
        <v>15000</v>
      </c>
      <c r="I55" s="498"/>
    </row>
    <row r="56" spans="1:9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>
        <v>0</v>
      </c>
      <c r="G56" s="143">
        <v>0</v>
      </c>
      <c r="H56" s="111">
        <v>210000</v>
      </c>
      <c r="I56" s="498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0</v>
      </c>
      <c r="G57" s="104">
        <f t="shared" si="0"/>
        <v>0</v>
      </c>
      <c r="H57" s="106">
        <f t="shared" si="0"/>
        <v>8133515</v>
      </c>
      <c r="I57" s="498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498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>
        <v>0</v>
      </c>
      <c r="G59" s="143">
        <v>0</v>
      </c>
      <c r="H59" s="111">
        <v>0</v>
      </c>
      <c r="I59" s="498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>
        <v>0</v>
      </c>
      <c r="G60" s="143">
        <v>0</v>
      </c>
      <c r="H60" s="111">
        <v>0</v>
      </c>
      <c r="I60" s="498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>
        <v>0</v>
      </c>
      <c r="G61" s="143">
        <v>0</v>
      </c>
      <c r="H61" s="111">
        <v>0</v>
      </c>
      <c r="I61" s="498"/>
    </row>
    <row r="62" spans="1:9" ht="28.5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0</v>
      </c>
      <c r="G62" s="143">
        <v>0</v>
      </c>
      <c r="H62" s="111">
        <v>432866</v>
      </c>
      <c r="I62" s="498" t="s">
        <v>609</v>
      </c>
    </row>
    <row r="63" spans="1:9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>
        <v>0</v>
      </c>
      <c r="G63" s="143">
        <v>0</v>
      </c>
      <c r="H63" s="111">
        <v>5000</v>
      </c>
      <c r="I63" s="498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499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498"/>
    </row>
    <row r="66" spans="1:9" hidden="1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>
        <v>0</v>
      </c>
      <c r="G66" s="143">
        <v>0</v>
      </c>
      <c r="H66" s="111">
        <v>0</v>
      </c>
      <c r="I66" s="498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0</v>
      </c>
      <c r="G67" s="157">
        <f>SUM(G58:G66)</f>
        <v>0</v>
      </c>
      <c r="H67" s="159">
        <f>SUM(H58:H66)</f>
        <v>437866</v>
      </c>
      <c r="I67" s="498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498"/>
    </row>
    <row r="69" spans="1:9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0</v>
      </c>
      <c r="G69" s="143">
        <v>0</v>
      </c>
      <c r="H69" s="111">
        <v>900000</v>
      </c>
      <c r="I69" s="498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0</v>
      </c>
      <c r="G70" s="143">
        <v>0</v>
      </c>
      <c r="H70" s="111">
        <v>34508800</v>
      </c>
      <c r="I70" s="498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0</v>
      </c>
      <c r="G71" s="157">
        <f t="shared" si="1"/>
        <v>0</v>
      </c>
      <c r="H71" s="159">
        <f>SUM(H69:H70)</f>
        <v>35408800</v>
      </c>
      <c r="I71" s="498"/>
    </row>
    <row r="72" spans="1:9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498"/>
    </row>
    <row r="73" spans="1:9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498"/>
    </row>
    <row r="74" spans="1:9" ht="15.75" thickBot="1" x14ac:dyDescent="0.3">
      <c r="A74" s="169" t="s">
        <v>423</v>
      </c>
      <c r="B74" s="170"/>
      <c r="C74" s="171"/>
      <c r="D74" s="172">
        <f>'PCFP - All Revenue AA-1 R-5'!D33+'PCFP - All Revenue AA-1 R-5'!D49+'PCFP - All Revenue AA-1 R-5'!D57+'PCFP - All Revenue AA-1 R-5'!D71+'PCFP - All Revenue AA-1 R-5'!D67</f>
        <v>0</v>
      </c>
      <c r="E74" s="172">
        <f>'PCFP - All Revenue AA-1 R-5'!E33+'PCFP - All Revenue AA-1 R-5'!E49+'PCFP - All Revenue AA-1 R-5'!E57+'PCFP - All Revenue AA-1 R-5'!E71+'PCFP - All Revenue AA-1 R-5'!E67</f>
        <v>0</v>
      </c>
      <c r="F74" s="173">
        <f>'PCFP - All Revenue AA-1 R-5'!F33+'PCFP - All Revenue AA-1 R-5'!F49+'PCFP - All Revenue AA-1 R-5'!F57+'PCFP - All Revenue AA-1 R-5'!F71+'PCFP - All Revenue AA-1 R-5'!F67</f>
        <v>90914870.334770232</v>
      </c>
      <c r="G74" s="172">
        <f>'PCFP - All Revenue AA-1 R-5'!G33+'PCFP - All Revenue AA-1 R-5'!G49+'PCFP - All Revenue AA-1 R-5'!G57+'PCFP - All Revenue AA-1 R-5'!G71+'PCFP - All Revenue AA-1 R-5'!G67</f>
        <v>0</v>
      </c>
      <c r="H74" s="174">
        <f>'PCFP - All Revenue AA-1 R-5'!H33+'PCFP - All Revenue AA-1 R-5'!H49+'PCFP - All Revenue AA-1 R-5'!H57+'PCFP - All Revenue AA-1 R-5'!H71+'PCFP - All Revenue AA-1 R-5'!H67</f>
        <v>80043158</v>
      </c>
      <c r="I74" s="498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44"/>
      <c r="G75" s="143"/>
      <c r="H75" s="111">
        <v>0</v>
      </c>
      <c r="I75" s="498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44"/>
      <c r="G76" s="143"/>
      <c r="H76" s="111">
        <v>0</v>
      </c>
      <c r="I76" s="498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44"/>
      <c r="G77" s="143"/>
      <c r="H77" s="111">
        <v>0</v>
      </c>
      <c r="I77" s="498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498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7">
        <f t="shared" si="2"/>
        <v>0</v>
      </c>
      <c r="G79" s="187">
        <f t="shared" si="2"/>
        <v>0</v>
      </c>
      <c r="H79" s="187">
        <f>SUM(H75:H78)</f>
        <v>0</v>
      </c>
      <c r="I79" s="498"/>
    </row>
    <row r="80" spans="1:9" x14ac:dyDescent="0.2">
      <c r="A80" s="189"/>
      <c r="B80" s="189"/>
      <c r="C80" s="190"/>
      <c r="D80" s="190"/>
      <c r="E80" s="190"/>
      <c r="F80" s="190"/>
      <c r="G80" s="190"/>
      <c r="H80" s="190"/>
    </row>
    <row r="81" spans="1:8" x14ac:dyDescent="0.2">
      <c r="A81" s="94"/>
      <c r="B81" s="94"/>
      <c r="C81" s="191" t="str">
        <f>C1</f>
        <v>Elko County School District</v>
      </c>
      <c r="D81" s="190" t="s">
        <v>428</v>
      </c>
      <c r="E81" s="190"/>
      <c r="F81" s="276"/>
      <c r="G81" s="190"/>
      <c r="H81" s="190"/>
    </row>
    <row r="82" spans="1:8" x14ac:dyDescent="0.2">
      <c r="A82" s="98"/>
      <c r="B82" s="98"/>
      <c r="C82" s="193" t="s">
        <v>429</v>
      </c>
      <c r="D82" s="189" t="s">
        <v>430</v>
      </c>
      <c r="E82" s="190"/>
      <c r="F82" s="190"/>
      <c r="G82" s="190"/>
      <c r="H82" s="190"/>
    </row>
    <row r="83" spans="1:8" x14ac:dyDescent="0.2">
      <c r="A83" s="189"/>
      <c r="B83" s="189"/>
      <c r="C83" s="190"/>
      <c r="D83" s="190"/>
      <c r="E83" s="190"/>
      <c r="F83" s="195" t="s">
        <v>481</v>
      </c>
      <c r="G83" s="196" t="s">
        <v>590</v>
      </c>
      <c r="H83" s="197"/>
    </row>
    <row r="84" spans="1:8" x14ac:dyDescent="0.2">
      <c r="A84" s="189"/>
      <c r="B84" s="189"/>
      <c r="C84" s="190"/>
      <c r="D84" s="190"/>
      <c r="E84" s="190"/>
      <c r="F84" s="190"/>
      <c r="G84" s="192" t="str">
        <f>"Budget Fiscal Year "&amp;TEXT('[5]Form 1'!$C$136, "mm/dd/yy")</f>
        <v>Budget Fiscal Year 2019-2020</v>
      </c>
      <c r="H84" s="192"/>
    </row>
    <row r="85" spans="1:8" x14ac:dyDescent="0.2">
      <c r="A85" s="189"/>
      <c r="B85" s="189"/>
      <c r="C85" s="190"/>
      <c r="D85" s="190"/>
      <c r="E85" s="190"/>
      <c r="F85" s="194"/>
      <c r="G85" s="192" t="s">
        <v>431</v>
      </c>
      <c r="H85" s="192"/>
    </row>
  </sheetData>
  <pageMargins left="0.2" right="0.2" top="0.25" bottom="0.25" header="0.05" footer="0.05"/>
  <pageSetup paperSize="5" scale="67" fitToHeight="2" orientation="landscape" r:id="rId1"/>
  <rowBreaks count="1" manualBreakCount="1">
    <brk id="5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E0EA-562F-4E95-8074-65DAA636F0E4}">
  <sheetPr>
    <tabColor rgb="FFFFFF00"/>
    <pageSetUpPr fitToPage="1"/>
  </sheetPr>
  <dimension ref="A1:T151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17" sqref="K117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28.42578125" style="77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506" t="s">
        <v>575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505"/>
    </row>
    <row r="3" spans="1:11" ht="28.5" x14ac:dyDescent="0.2">
      <c r="A3" s="116">
        <v>100</v>
      </c>
      <c r="B3" s="95" t="s">
        <v>134</v>
      </c>
      <c r="C3" s="89">
        <v>27543141</v>
      </c>
      <c r="D3" s="89">
        <v>19208285</v>
      </c>
      <c r="E3" s="89">
        <v>3415974</v>
      </c>
      <c r="F3" s="89">
        <v>870890</v>
      </c>
      <c r="G3" s="89">
        <v>50000</v>
      </c>
      <c r="H3" s="89" t="s">
        <v>393</v>
      </c>
      <c r="I3" s="214" t="s">
        <v>455</v>
      </c>
      <c r="J3" s="89">
        <f>SUM(C3:I3)</f>
        <v>51088290</v>
      </c>
      <c r="K3" s="498" t="s">
        <v>610</v>
      </c>
    </row>
    <row r="4" spans="1:11" x14ac:dyDescent="0.2">
      <c r="A4" s="116">
        <v>200</v>
      </c>
      <c r="B4" s="95" t="s">
        <v>135</v>
      </c>
      <c r="C4" s="89" t="s">
        <v>393</v>
      </c>
      <c r="D4" s="89" t="s">
        <v>498</v>
      </c>
      <c r="E4" s="89" t="s">
        <v>450</v>
      </c>
      <c r="F4" s="89">
        <v>5944098</v>
      </c>
      <c r="G4" s="89" t="s">
        <v>452</v>
      </c>
      <c r="H4" s="89" t="s">
        <v>393</v>
      </c>
      <c r="I4" s="214" t="s">
        <v>455</v>
      </c>
      <c r="J4" s="89">
        <f t="shared" ref="J4:J67" si="0">SUM(C4:I4)</f>
        <v>5944098</v>
      </c>
      <c r="K4" s="498" t="s">
        <v>611</v>
      </c>
    </row>
    <row r="5" spans="1:11" hidden="1" x14ac:dyDescent="0.2">
      <c r="A5" s="210" t="s">
        <v>10</v>
      </c>
      <c r="B5" s="211" t="s">
        <v>136</v>
      </c>
      <c r="C5" s="89" t="s">
        <v>393</v>
      </c>
      <c r="D5" s="89" t="s">
        <v>498</v>
      </c>
      <c r="E5" s="89" t="s">
        <v>450</v>
      </c>
      <c r="F5" s="89" t="s">
        <v>451</v>
      </c>
      <c r="G5" s="89" t="s">
        <v>452</v>
      </c>
      <c r="H5" s="89" t="s">
        <v>393</v>
      </c>
      <c r="I5" s="214" t="s">
        <v>455</v>
      </c>
      <c r="J5" s="89">
        <f t="shared" si="0"/>
        <v>0</v>
      </c>
      <c r="K5" s="507"/>
    </row>
    <row r="6" spans="1:11" hidden="1" x14ac:dyDescent="0.2">
      <c r="A6" s="116">
        <v>270</v>
      </c>
      <c r="B6" s="95" t="s">
        <v>137</v>
      </c>
      <c r="C6" s="89" t="s">
        <v>393</v>
      </c>
      <c r="D6" s="89" t="s">
        <v>498</v>
      </c>
      <c r="E6" s="89" t="s">
        <v>450</v>
      </c>
      <c r="F6" s="89" t="s">
        <v>451</v>
      </c>
      <c r="G6" s="89" t="s">
        <v>452</v>
      </c>
      <c r="H6" s="89" t="s">
        <v>393</v>
      </c>
      <c r="I6" s="214" t="s">
        <v>455</v>
      </c>
      <c r="J6" s="89">
        <f t="shared" si="0"/>
        <v>0</v>
      </c>
      <c r="K6" s="498"/>
    </row>
    <row r="7" spans="1:11" hidden="1" x14ac:dyDescent="0.2">
      <c r="A7" s="210" t="s">
        <v>10</v>
      </c>
      <c r="B7" s="211" t="s">
        <v>138</v>
      </c>
      <c r="C7" s="89" t="s">
        <v>393</v>
      </c>
      <c r="D7" s="89" t="s">
        <v>498</v>
      </c>
      <c r="E7" s="89" t="s">
        <v>450</v>
      </c>
      <c r="F7" s="89" t="s">
        <v>451</v>
      </c>
      <c r="G7" s="89" t="s">
        <v>452</v>
      </c>
      <c r="H7" s="89" t="s">
        <v>393</v>
      </c>
      <c r="I7" s="214" t="s">
        <v>455</v>
      </c>
      <c r="J7" s="89">
        <f t="shared" si="0"/>
        <v>0</v>
      </c>
      <c r="K7" s="507"/>
    </row>
    <row r="8" spans="1:11" x14ac:dyDescent="0.2">
      <c r="A8" s="116">
        <v>300</v>
      </c>
      <c r="B8" s="95" t="s">
        <v>139</v>
      </c>
      <c r="C8" s="89">
        <v>1992911</v>
      </c>
      <c r="D8" s="89">
        <v>871780</v>
      </c>
      <c r="E8" s="89">
        <v>88160</v>
      </c>
      <c r="F8" s="89" t="s">
        <v>451</v>
      </c>
      <c r="G8" s="89" t="s">
        <v>452</v>
      </c>
      <c r="H8" s="89" t="s">
        <v>393</v>
      </c>
      <c r="I8" s="214" t="s">
        <v>455</v>
      </c>
      <c r="J8" s="89">
        <f t="shared" si="0"/>
        <v>2952851</v>
      </c>
      <c r="K8" s="498"/>
    </row>
    <row r="9" spans="1:11" x14ac:dyDescent="0.2">
      <c r="A9" s="116">
        <v>400</v>
      </c>
      <c r="B9" s="95" t="s">
        <v>140</v>
      </c>
      <c r="C9" s="89">
        <v>1396453</v>
      </c>
      <c r="D9" s="89">
        <v>648779</v>
      </c>
      <c r="E9" s="89">
        <v>35180</v>
      </c>
      <c r="F9" s="89" t="s">
        <v>451</v>
      </c>
      <c r="G9" s="89" t="s">
        <v>452</v>
      </c>
      <c r="H9" s="89" t="s">
        <v>393</v>
      </c>
      <c r="I9" s="214" t="s">
        <v>455</v>
      </c>
      <c r="J9" s="89">
        <f t="shared" si="0"/>
        <v>2080412</v>
      </c>
      <c r="K9" s="498"/>
    </row>
    <row r="10" spans="1:11" hidden="1" x14ac:dyDescent="0.2">
      <c r="A10" s="210" t="s">
        <v>10</v>
      </c>
      <c r="B10" s="211" t="s">
        <v>141</v>
      </c>
      <c r="C10" s="89" t="s">
        <v>393</v>
      </c>
      <c r="D10" s="89" t="s">
        <v>498</v>
      </c>
      <c r="E10" s="89" t="s">
        <v>450</v>
      </c>
      <c r="F10" s="89" t="s">
        <v>451</v>
      </c>
      <c r="G10" s="89" t="s">
        <v>452</v>
      </c>
      <c r="H10" s="89" t="s">
        <v>393</v>
      </c>
      <c r="I10" s="214" t="s">
        <v>455</v>
      </c>
      <c r="J10" s="89">
        <f t="shared" si="0"/>
        <v>0</v>
      </c>
      <c r="K10" s="507"/>
    </row>
    <row r="11" spans="1:11" hidden="1" x14ac:dyDescent="0.2">
      <c r="A11" s="210" t="s">
        <v>10</v>
      </c>
      <c r="B11" s="211" t="s">
        <v>142</v>
      </c>
      <c r="C11" s="89" t="s">
        <v>393</v>
      </c>
      <c r="D11" s="89" t="s">
        <v>498</v>
      </c>
      <c r="E11" s="89" t="s">
        <v>450</v>
      </c>
      <c r="F11" s="89" t="s">
        <v>451</v>
      </c>
      <c r="G11" s="89" t="s">
        <v>452</v>
      </c>
      <c r="H11" s="89" t="s">
        <v>393</v>
      </c>
      <c r="I11" s="214" t="s">
        <v>455</v>
      </c>
      <c r="J11" s="89">
        <f t="shared" si="0"/>
        <v>0</v>
      </c>
      <c r="K11" s="507"/>
    </row>
    <row r="12" spans="1:11" hidden="1" x14ac:dyDescent="0.2">
      <c r="A12" s="116">
        <v>440</v>
      </c>
      <c r="B12" s="95" t="s">
        <v>143</v>
      </c>
      <c r="C12" s="89" t="s">
        <v>393</v>
      </c>
      <c r="D12" s="89" t="s">
        <v>498</v>
      </c>
      <c r="E12" s="89" t="s">
        <v>450</v>
      </c>
      <c r="F12" s="89" t="s">
        <v>451</v>
      </c>
      <c r="G12" s="89" t="s">
        <v>452</v>
      </c>
      <c r="H12" s="89" t="s">
        <v>393</v>
      </c>
      <c r="I12" s="214" t="s">
        <v>455</v>
      </c>
      <c r="J12" s="89">
        <f t="shared" si="0"/>
        <v>0</v>
      </c>
      <c r="K12" s="498"/>
    </row>
    <row r="13" spans="1:11" hidden="1" x14ac:dyDescent="0.2">
      <c r="A13" s="116">
        <v>500</v>
      </c>
      <c r="B13" s="95" t="s">
        <v>144</v>
      </c>
      <c r="C13" s="89" t="s">
        <v>393</v>
      </c>
      <c r="D13" s="89" t="s">
        <v>498</v>
      </c>
      <c r="E13" s="89" t="s">
        <v>450</v>
      </c>
      <c r="F13" s="89" t="s">
        <v>451</v>
      </c>
      <c r="G13" s="89" t="s">
        <v>452</v>
      </c>
      <c r="H13" s="89" t="s">
        <v>393</v>
      </c>
      <c r="I13" s="214" t="s">
        <v>455</v>
      </c>
      <c r="J13" s="89">
        <f t="shared" si="0"/>
        <v>0</v>
      </c>
      <c r="K13" s="498"/>
    </row>
    <row r="14" spans="1:11" hidden="1" x14ac:dyDescent="0.2">
      <c r="A14" s="116">
        <v>600</v>
      </c>
      <c r="B14" s="95" t="s">
        <v>145</v>
      </c>
      <c r="C14" s="89" t="s">
        <v>393</v>
      </c>
      <c r="D14" s="89" t="s">
        <v>498</v>
      </c>
      <c r="E14" s="89" t="s">
        <v>450</v>
      </c>
      <c r="F14" s="89" t="s">
        <v>451</v>
      </c>
      <c r="G14" s="89" t="s">
        <v>452</v>
      </c>
      <c r="H14" s="89" t="s">
        <v>393</v>
      </c>
      <c r="I14" s="214" t="s">
        <v>455</v>
      </c>
      <c r="J14" s="89">
        <f t="shared" si="0"/>
        <v>0</v>
      </c>
      <c r="K14" s="498"/>
    </row>
    <row r="15" spans="1:11" hidden="1" x14ac:dyDescent="0.2">
      <c r="A15" s="116">
        <v>800</v>
      </c>
      <c r="B15" s="95" t="s">
        <v>146</v>
      </c>
      <c r="C15" s="89" t="s">
        <v>393</v>
      </c>
      <c r="D15" s="89" t="s">
        <v>498</v>
      </c>
      <c r="E15" s="89" t="s">
        <v>450</v>
      </c>
      <c r="F15" s="89" t="s">
        <v>451</v>
      </c>
      <c r="G15" s="89" t="s">
        <v>452</v>
      </c>
      <c r="H15" s="89" t="s">
        <v>393</v>
      </c>
      <c r="I15" s="214" t="s">
        <v>455</v>
      </c>
      <c r="J15" s="89">
        <f t="shared" si="0"/>
        <v>0</v>
      </c>
      <c r="K15" s="498"/>
    </row>
    <row r="16" spans="1:11" x14ac:dyDescent="0.2">
      <c r="A16" s="116">
        <v>910</v>
      </c>
      <c r="B16" s="95" t="s">
        <v>147</v>
      </c>
      <c r="C16" s="89">
        <v>782448</v>
      </c>
      <c r="D16" s="89">
        <v>470489</v>
      </c>
      <c r="E16" s="89">
        <v>622485</v>
      </c>
      <c r="F16" s="89" t="s">
        <v>451</v>
      </c>
      <c r="G16" s="89" t="s">
        <v>452</v>
      </c>
      <c r="H16" s="89" t="s">
        <v>393</v>
      </c>
      <c r="I16" s="214" t="s">
        <v>455</v>
      </c>
      <c r="J16" s="89">
        <f t="shared" si="0"/>
        <v>1875422</v>
      </c>
      <c r="K16" s="498"/>
    </row>
    <row r="17" spans="1:20" hidden="1" x14ac:dyDescent="0.2">
      <c r="A17" s="116">
        <v>920</v>
      </c>
      <c r="B17" s="95" t="s">
        <v>148</v>
      </c>
      <c r="C17" s="89" t="s">
        <v>393</v>
      </c>
      <c r="D17" s="89" t="s">
        <v>498</v>
      </c>
      <c r="E17" s="89" t="s">
        <v>450</v>
      </c>
      <c r="F17" s="89" t="s">
        <v>451</v>
      </c>
      <c r="G17" s="89" t="s">
        <v>452</v>
      </c>
      <c r="H17" s="89" t="s">
        <v>393</v>
      </c>
      <c r="I17" s="214" t="s">
        <v>455</v>
      </c>
      <c r="J17" s="89">
        <f t="shared" si="0"/>
        <v>0</v>
      </c>
      <c r="K17" s="498"/>
    </row>
    <row r="18" spans="1:20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498"/>
    </row>
    <row r="19" spans="1:20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498"/>
    </row>
    <row r="20" spans="1:20" ht="15" hidden="1" x14ac:dyDescent="0.25">
      <c r="A20" s="215" t="s">
        <v>443</v>
      </c>
      <c r="B20" s="216" t="s">
        <v>444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0</v>
      </c>
      <c r="K20" s="498"/>
    </row>
    <row r="21" spans="1:20" ht="15" x14ac:dyDescent="0.25">
      <c r="A21" s="116">
        <v>2100</v>
      </c>
      <c r="B21" s="95" t="s">
        <v>151</v>
      </c>
      <c r="C21" s="89">
        <v>5267880</v>
      </c>
      <c r="D21" s="89">
        <v>2368958</v>
      </c>
      <c r="E21" s="89">
        <v>96635</v>
      </c>
      <c r="F21" s="89" t="s">
        <v>451</v>
      </c>
      <c r="G21" s="89" t="s">
        <v>452</v>
      </c>
      <c r="H21" s="89" t="s">
        <v>393</v>
      </c>
      <c r="I21" s="214" t="s">
        <v>455</v>
      </c>
      <c r="J21" s="89">
        <f t="shared" si="0"/>
        <v>7733473</v>
      </c>
      <c r="K21" s="498"/>
      <c r="T21" s="508"/>
    </row>
    <row r="22" spans="1:20" x14ac:dyDescent="0.2">
      <c r="A22" s="116">
        <v>2200</v>
      </c>
      <c r="B22" s="95" t="s">
        <v>152</v>
      </c>
      <c r="C22" s="89">
        <v>1621586</v>
      </c>
      <c r="D22" s="89">
        <v>730937</v>
      </c>
      <c r="E22" s="89">
        <v>118407</v>
      </c>
      <c r="F22" s="89" t="s">
        <v>451</v>
      </c>
      <c r="G22" s="89" t="s">
        <v>452</v>
      </c>
      <c r="H22" s="89" t="s">
        <v>393</v>
      </c>
      <c r="I22" s="214" t="s">
        <v>455</v>
      </c>
      <c r="J22" s="89">
        <f t="shared" si="0"/>
        <v>2470930</v>
      </c>
      <c r="K22" s="498"/>
    </row>
    <row r="23" spans="1:20" x14ac:dyDescent="0.2">
      <c r="A23" s="116">
        <v>2300</v>
      </c>
      <c r="B23" s="95" t="s">
        <v>153</v>
      </c>
      <c r="C23" s="89">
        <v>476465</v>
      </c>
      <c r="D23" s="89">
        <v>379446</v>
      </c>
      <c r="E23" s="89">
        <v>340019</v>
      </c>
      <c r="F23" s="89" t="s">
        <v>451</v>
      </c>
      <c r="G23" s="89" t="s">
        <v>452</v>
      </c>
      <c r="H23" s="89" t="s">
        <v>393</v>
      </c>
      <c r="I23" s="214" t="s">
        <v>455</v>
      </c>
      <c r="J23" s="89">
        <f t="shared" si="0"/>
        <v>1195930</v>
      </c>
      <c r="K23" s="498"/>
    </row>
    <row r="24" spans="1:20" x14ac:dyDescent="0.2">
      <c r="A24" s="116">
        <v>2400</v>
      </c>
      <c r="B24" s="95" t="s">
        <v>154</v>
      </c>
      <c r="C24" s="89">
        <v>5255974</v>
      </c>
      <c r="D24" s="89">
        <v>2191480</v>
      </c>
      <c r="E24" s="89">
        <v>782616</v>
      </c>
      <c r="F24" s="89" t="s">
        <v>451</v>
      </c>
      <c r="G24" s="89" t="s">
        <v>452</v>
      </c>
      <c r="H24" s="89" t="s">
        <v>393</v>
      </c>
      <c r="I24" s="214" t="s">
        <v>455</v>
      </c>
      <c r="J24" s="89">
        <f t="shared" si="0"/>
        <v>8230070</v>
      </c>
      <c r="K24" s="498"/>
    </row>
    <row r="25" spans="1:20" x14ac:dyDescent="0.2">
      <c r="A25" s="116">
        <v>2500</v>
      </c>
      <c r="B25" s="95" t="s">
        <v>155</v>
      </c>
      <c r="C25" s="89">
        <v>1736541</v>
      </c>
      <c r="D25" s="89">
        <v>717875</v>
      </c>
      <c r="E25" s="89">
        <v>716215</v>
      </c>
      <c r="F25" s="89" t="s">
        <v>451</v>
      </c>
      <c r="G25" s="89" t="s">
        <v>452</v>
      </c>
      <c r="H25" s="89" t="s">
        <v>393</v>
      </c>
      <c r="I25" s="214" t="s">
        <v>455</v>
      </c>
      <c r="J25" s="89">
        <f t="shared" si="0"/>
        <v>3170631</v>
      </c>
      <c r="K25" s="498"/>
    </row>
    <row r="26" spans="1:20" x14ac:dyDescent="0.2">
      <c r="A26" s="116">
        <v>2600</v>
      </c>
      <c r="B26" s="95" t="s">
        <v>156</v>
      </c>
      <c r="C26" s="89">
        <v>5858713</v>
      </c>
      <c r="D26" s="89">
        <v>2201263</v>
      </c>
      <c r="E26" s="89">
        <v>6670267</v>
      </c>
      <c r="F26" s="89">
        <v>350000</v>
      </c>
      <c r="G26" s="89" t="s">
        <v>452</v>
      </c>
      <c r="H26" s="89" t="s">
        <v>393</v>
      </c>
      <c r="I26" s="214" t="s">
        <v>455</v>
      </c>
      <c r="J26" s="89">
        <f t="shared" si="0"/>
        <v>15080243</v>
      </c>
      <c r="K26" s="498" t="s">
        <v>612</v>
      </c>
    </row>
    <row r="27" spans="1:20" x14ac:dyDescent="0.2">
      <c r="A27" s="217">
        <v>2700</v>
      </c>
      <c r="B27" s="211" t="s">
        <v>157</v>
      </c>
      <c r="C27" s="89">
        <v>1559452</v>
      </c>
      <c r="D27" s="89">
        <v>542889</v>
      </c>
      <c r="E27" s="89">
        <v>1157700</v>
      </c>
      <c r="F27" s="89" t="s">
        <v>451</v>
      </c>
      <c r="G27" s="89" t="s">
        <v>452</v>
      </c>
      <c r="H27" s="89" t="s">
        <v>393</v>
      </c>
      <c r="I27" s="214" t="s">
        <v>455</v>
      </c>
      <c r="J27" s="89">
        <f t="shared" si="0"/>
        <v>3260041</v>
      </c>
      <c r="K27" s="507"/>
    </row>
    <row r="28" spans="1:20" hidden="1" x14ac:dyDescent="0.2">
      <c r="A28" s="116">
        <v>2900</v>
      </c>
      <c r="B28" s="95" t="s">
        <v>158</v>
      </c>
      <c r="C28" s="89" t="s">
        <v>393</v>
      </c>
      <c r="D28" s="89" t="s">
        <v>498</v>
      </c>
      <c r="E28" s="89" t="s">
        <v>450</v>
      </c>
      <c r="F28" s="89" t="s">
        <v>451</v>
      </c>
      <c r="G28" s="89" t="s">
        <v>452</v>
      </c>
      <c r="H28" s="89" t="s">
        <v>393</v>
      </c>
      <c r="I28" s="214" t="s">
        <v>455</v>
      </c>
      <c r="J28" s="89">
        <f t="shared" si="0"/>
        <v>0</v>
      </c>
      <c r="K28" s="498"/>
    </row>
    <row r="29" spans="1:20" s="204" customFormat="1" ht="15" hidden="1" x14ac:dyDescent="0.25">
      <c r="A29" s="218">
        <v>3000</v>
      </c>
      <c r="B29" s="216" t="s">
        <v>159</v>
      </c>
      <c r="C29" s="89" t="s">
        <v>393</v>
      </c>
      <c r="D29" s="89" t="s">
        <v>498</v>
      </c>
      <c r="E29" s="89" t="s">
        <v>450</v>
      </c>
      <c r="F29" s="89" t="s">
        <v>451</v>
      </c>
      <c r="G29" s="89" t="s">
        <v>452</v>
      </c>
      <c r="H29" s="89" t="s">
        <v>393</v>
      </c>
      <c r="I29" s="214" t="s">
        <v>455</v>
      </c>
      <c r="J29" s="89">
        <f t="shared" si="0"/>
        <v>0</v>
      </c>
      <c r="K29" s="509"/>
    </row>
    <row r="30" spans="1:20" x14ac:dyDescent="0.2">
      <c r="A30" s="217">
        <v>3100</v>
      </c>
      <c r="B30" s="211" t="s">
        <v>160</v>
      </c>
      <c r="C30" s="89" t="s">
        <v>393</v>
      </c>
      <c r="D30" s="89" t="s">
        <v>498</v>
      </c>
      <c r="E30" s="89" t="s">
        <v>450</v>
      </c>
      <c r="F30" s="89">
        <v>621496</v>
      </c>
      <c r="G30" s="89" t="s">
        <v>452</v>
      </c>
      <c r="H30" s="89" t="s">
        <v>393</v>
      </c>
      <c r="I30" s="214" t="s">
        <v>455</v>
      </c>
      <c r="J30" s="89">
        <f t="shared" si="0"/>
        <v>621496</v>
      </c>
      <c r="K30" s="507" t="s">
        <v>613</v>
      </c>
    </row>
    <row r="31" spans="1:20" hidden="1" x14ac:dyDescent="0.2">
      <c r="A31" s="116">
        <v>3200</v>
      </c>
      <c r="B31" s="95" t="s">
        <v>161</v>
      </c>
      <c r="C31" s="89" t="s">
        <v>393</v>
      </c>
      <c r="D31" s="89" t="s">
        <v>498</v>
      </c>
      <c r="E31" s="89" t="s">
        <v>450</v>
      </c>
      <c r="F31" s="89" t="s">
        <v>451</v>
      </c>
      <c r="G31" s="89" t="s">
        <v>452</v>
      </c>
      <c r="H31" s="89" t="s">
        <v>393</v>
      </c>
      <c r="I31" s="214" t="s">
        <v>455</v>
      </c>
      <c r="J31" s="89">
        <f t="shared" si="0"/>
        <v>0</v>
      </c>
      <c r="K31" s="498"/>
    </row>
    <row r="32" spans="1:20" x14ac:dyDescent="0.2">
      <c r="A32" s="116">
        <v>3300</v>
      </c>
      <c r="B32" s="95" t="s">
        <v>162</v>
      </c>
      <c r="C32" s="89" t="s">
        <v>393</v>
      </c>
      <c r="D32" s="89" t="s">
        <v>498</v>
      </c>
      <c r="E32" s="89">
        <v>12700</v>
      </c>
      <c r="F32" s="89" t="s">
        <v>451</v>
      </c>
      <c r="G32" s="89" t="s">
        <v>452</v>
      </c>
      <c r="H32" s="89" t="s">
        <v>393</v>
      </c>
      <c r="I32" s="214" t="s">
        <v>455</v>
      </c>
      <c r="J32" s="89">
        <f t="shared" si="0"/>
        <v>12700</v>
      </c>
      <c r="K32" s="498"/>
    </row>
    <row r="33" spans="1:11" s="223" customFormat="1" hidden="1" x14ac:dyDescent="0.2">
      <c r="A33" s="220">
        <v>4100</v>
      </c>
      <c r="B33" s="221" t="s">
        <v>163</v>
      </c>
      <c r="C33" s="89" t="s">
        <v>393</v>
      </c>
      <c r="D33" s="89" t="s">
        <v>498</v>
      </c>
      <c r="E33" s="89" t="s">
        <v>450</v>
      </c>
      <c r="F33" s="89" t="s">
        <v>451</v>
      </c>
      <c r="G33" s="89" t="s">
        <v>452</v>
      </c>
      <c r="H33" s="89" t="s">
        <v>393</v>
      </c>
      <c r="I33" s="214" t="s">
        <v>455</v>
      </c>
      <c r="J33" s="89">
        <f t="shared" si="0"/>
        <v>0</v>
      </c>
      <c r="K33" s="510"/>
    </row>
    <row r="34" spans="1:11" s="225" customFormat="1" ht="15" hidden="1" x14ac:dyDescent="0.25">
      <c r="A34" s="220">
        <v>4000</v>
      </c>
      <c r="B34" s="221" t="s">
        <v>164</v>
      </c>
      <c r="C34" s="89" t="s">
        <v>393</v>
      </c>
      <c r="D34" s="89" t="s">
        <v>498</v>
      </c>
      <c r="E34" s="89" t="s">
        <v>450</v>
      </c>
      <c r="F34" s="89" t="s">
        <v>451</v>
      </c>
      <c r="G34" s="89" t="s">
        <v>452</v>
      </c>
      <c r="H34" s="89" t="s">
        <v>393</v>
      </c>
      <c r="I34" s="214" t="s">
        <v>455</v>
      </c>
      <c r="J34" s="89">
        <f t="shared" si="0"/>
        <v>0</v>
      </c>
      <c r="K34" s="511"/>
    </row>
    <row r="35" spans="1:11" s="223" customFormat="1" hidden="1" x14ac:dyDescent="0.2">
      <c r="A35" s="220">
        <v>4200</v>
      </c>
      <c r="B35" s="221" t="s">
        <v>165</v>
      </c>
      <c r="C35" s="89" t="s">
        <v>393</v>
      </c>
      <c r="D35" s="89" t="s">
        <v>498</v>
      </c>
      <c r="E35" s="89" t="s">
        <v>450</v>
      </c>
      <c r="F35" s="89" t="s">
        <v>451</v>
      </c>
      <c r="G35" s="89" t="s">
        <v>452</v>
      </c>
      <c r="H35" s="89" t="s">
        <v>393</v>
      </c>
      <c r="I35" s="214" t="s">
        <v>455</v>
      </c>
      <c r="J35" s="89">
        <f t="shared" si="0"/>
        <v>0</v>
      </c>
      <c r="K35" s="510"/>
    </row>
    <row r="36" spans="1:11" s="223" customFormat="1" hidden="1" x14ac:dyDescent="0.2">
      <c r="A36" s="220">
        <v>4300</v>
      </c>
      <c r="B36" s="221" t="s">
        <v>166</v>
      </c>
      <c r="C36" s="89" t="s">
        <v>393</v>
      </c>
      <c r="D36" s="89" t="s">
        <v>498</v>
      </c>
      <c r="E36" s="89" t="s">
        <v>450</v>
      </c>
      <c r="F36" s="89" t="s">
        <v>451</v>
      </c>
      <c r="G36" s="89" t="s">
        <v>452</v>
      </c>
      <c r="H36" s="89" t="s">
        <v>393</v>
      </c>
      <c r="I36" s="214" t="s">
        <v>455</v>
      </c>
      <c r="J36" s="89">
        <f t="shared" si="0"/>
        <v>0</v>
      </c>
      <c r="K36" s="510"/>
    </row>
    <row r="37" spans="1:11" s="223" customFormat="1" hidden="1" x14ac:dyDescent="0.2">
      <c r="A37" s="220">
        <v>4400</v>
      </c>
      <c r="B37" s="221" t="s">
        <v>167</v>
      </c>
      <c r="C37" s="89" t="s">
        <v>393</v>
      </c>
      <c r="D37" s="89" t="s">
        <v>498</v>
      </c>
      <c r="E37" s="89" t="s">
        <v>450</v>
      </c>
      <c r="F37" s="89" t="s">
        <v>451</v>
      </c>
      <c r="G37" s="89" t="s">
        <v>452</v>
      </c>
      <c r="H37" s="89" t="s">
        <v>393</v>
      </c>
      <c r="I37" s="214" t="s">
        <v>455</v>
      </c>
      <c r="J37" s="89">
        <f t="shared" si="0"/>
        <v>0</v>
      </c>
      <c r="K37" s="510"/>
    </row>
    <row r="38" spans="1:11" s="223" customFormat="1" hidden="1" x14ac:dyDescent="0.2">
      <c r="A38" s="220">
        <v>4500</v>
      </c>
      <c r="B38" s="221" t="s">
        <v>168</v>
      </c>
      <c r="C38" s="89" t="s">
        <v>393</v>
      </c>
      <c r="D38" s="89" t="s">
        <v>498</v>
      </c>
      <c r="E38" s="89" t="s">
        <v>450</v>
      </c>
      <c r="F38" s="89" t="s">
        <v>451</v>
      </c>
      <c r="G38" s="89" t="s">
        <v>452</v>
      </c>
      <c r="H38" s="89" t="s">
        <v>393</v>
      </c>
      <c r="I38" s="214" t="s">
        <v>455</v>
      </c>
      <c r="J38" s="89">
        <f t="shared" si="0"/>
        <v>0</v>
      </c>
      <c r="K38" s="510"/>
    </row>
    <row r="39" spans="1:11" s="223" customFormat="1" hidden="1" x14ac:dyDescent="0.2">
      <c r="A39" s="220">
        <v>4600</v>
      </c>
      <c r="B39" s="221" t="s">
        <v>169</v>
      </c>
      <c r="C39" s="89" t="s">
        <v>393</v>
      </c>
      <c r="D39" s="89" t="s">
        <v>498</v>
      </c>
      <c r="E39" s="89" t="s">
        <v>450</v>
      </c>
      <c r="F39" s="89" t="s">
        <v>451</v>
      </c>
      <c r="G39" s="89" t="s">
        <v>452</v>
      </c>
      <c r="H39" s="89" t="s">
        <v>393</v>
      </c>
      <c r="I39" s="214" t="s">
        <v>455</v>
      </c>
      <c r="J39" s="89">
        <f t="shared" si="0"/>
        <v>0</v>
      </c>
      <c r="K39" s="510"/>
    </row>
    <row r="40" spans="1:11" s="223" customFormat="1" hidden="1" x14ac:dyDescent="0.2">
      <c r="A40" s="220">
        <v>4700</v>
      </c>
      <c r="B40" s="221" t="s">
        <v>170</v>
      </c>
      <c r="C40" s="89" t="s">
        <v>393</v>
      </c>
      <c r="D40" s="89" t="s">
        <v>498</v>
      </c>
      <c r="E40" s="89" t="s">
        <v>450</v>
      </c>
      <c r="F40" s="89" t="s">
        <v>451</v>
      </c>
      <c r="G40" s="89" t="s">
        <v>452</v>
      </c>
      <c r="H40" s="89" t="s">
        <v>393</v>
      </c>
      <c r="I40" s="214" t="s">
        <v>455</v>
      </c>
      <c r="J40" s="89">
        <f t="shared" si="0"/>
        <v>0</v>
      </c>
      <c r="K40" s="510"/>
    </row>
    <row r="41" spans="1:11" s="223" customFormat="1" hidden="1" x14ac:dyDescent="0.2">
      <c r="A41" s="220">
        <v>4900</v>
      </c>
      <c r="B41" s="221" t="s">
        <v>171</v>
      </c>
      <c r="C41" s="89" t="s">
        <v>393</v>
      </c>
      <c r="D41" s="89" t="s">
        <v>498</v>
      </c>
      <c r="E41" s="89" t="s">
        <v>450</v>
      </c>
      <c r="F41" s="89" t="s">
        <v>451</v>
      </c>
      <c r="G41" s="89" t="s">
        <v>452</v>
      </c>
      <c r="H41" s="89" t="s">
        <v>393</v>
      </c>
      <c r="I41" s="214" t="s">
        <v>455</v>
      </c>
      <c r="J41" s="89">
        <f t="shared" si="0"/>
        <v>0</v>
      </c>
      <c r="K41" s="510"/>
    </row>
    <row r="42" spans="1:11" hidden="1" x14ac:dyDescent="0.2">
      <c r="A42" s="220">
        <v>5000</v>
      </c>
      <c r="B42" s="226" t="s">
        <v>172</v>
      </c>
      <c r="C42" s="89" t="s">
        <v>393</v>
      </c>
      <c r="D42" s="89" t="s">
        <v>498</v>
      </c>
      <c r="E42" s="89" t="s">
        <v>450</v>
      </c>
      <c r="F42" s="89" t="s">
        <v>451</v>
      </c>
      <c r="G42" s="89" t="s">
        <v>452</v>
      </c>
      <c r="H42" s="89" t="s">
        <v>393</v>
      </c>
      <c r="I42" s="214" t="s">
        <v>455</v>
      </c>
      <c r="J42" s="89">
        <f t="shared" si="0"/>
        <v>0</v>
      </c>
      <c r="K42" s="498"/>
    </row>
    <row r="43" spans="1:11" x14ac:dyDescent="0.2">
      <c r="A43" s="220">
        <v>5000</v>
      </c>
      <c r="B43" s="226" t="s">
        <v>173</v>
      </c>
      <c r="C43" s="89" t="s">
        <v>393</v>
      </c>
      <c r="D43" s="89" t="s">
        <v>498</v>
      </c>
      <c r="E43" s="89">
        <v>607363</v>
      </c>
      <c r="F43" s="89" t="s">
        <v>451</v>
      </c>
      <c r="G43" s="89" t="s">
        <v>452</v>
      </c>
      <c r="H43" s="89" t="s">
        <v>393</v>
      </c>
      <c r="I43" s="214" t="s">
        <v>455</v>
      </c>
      <c r="J43" s="89">
        <f t="shared" si="0"/>
        <v>607363</v>
      </c>
      <c r="K43" s="498"/>
    </row>
    <row r="44" spans="1:11" hidden="1" x14ac:dyDescent="0.2">
      <c r="A44" s="220">
        <v>6100</v>
      </c>
      <c r="B44" s="226" t="s">
        <v>174</v>
      </c>
      <c r="C44" s="89" t="s">
        <v>393</v>
      </c>
      <c r="D44" s="89" t="s">
        <v>498</v>
      </c>
      <c r="E44" s="89" t="s">
        <v>450</v>
      </c>
      <c r="F44" s="89" t="s">
        <v>451</v>
      </c>
      <c r="G44" s="89" t="s">
        <v>452</v>
      </c>
      <c r="H44" s="89" t="s">
        <v>393</v>
      </c>
      <c r="I44" s="214" t="s">
        <v>455</v>
      </c>
      <c r="J44" s="89">
        <f t="shared" si="0"/>
        <v>0</v>
      </c>
      <c r="K44" s="498"/>
    </row>
    <row r="45" spans="1:11" hidden="1" x14ac:dyDescent="0.2">
      <c r="A45" s="116">
        <v>6200</v>
      </c>
      <c r="B45" s="95" t="s">
        <v>175</v>
      </c>
      <c r="C45" s="89" t="s">
        <v>393</v>
      </c>
      <c r="D45" s="89" t="s">
        <v>498</v>
      </c>
      <c r="E45" s="89" t="s">
        <v>450</v>
      </c>
      <c r="F45" s="89" t="s">
        <v>451</v>
      </c>
      <c r="G45" s="89" t="s">
        <v>452</v>
      </c>
      <c r="H45" s="89" t="s">
        <v>393</v>
      </c>
      <c r="I45" s="214" t="s">
        <v>455</v>
      </c>
      <c r="J45" s="89">
        <f t="shared" si="0"/>
        <v>0</v>
      </c>
      <c r="K45" s="498"/>
    </row>
    <row r="46" spans="1:11" hidden="1" x14ac:dyDescent="0.2">
      <c r="A46" s="116">
        <v>6300</v>
      </c>
      <c r="B46" s="95" t="s">
        <v>176</v>
      </c>
      <c r="C46" s="89" t="s">
        <v>393</v>
      </c>
      <c r="D46" s="89" t="s">
        <v>498</v>
      </c>
      <c r="E46" s="89" t="s">
        <v>450</v>
      </c>
      <c r="F46" s="89" t="s">
        <v>451</v>
      </c>
      <c r="G46" s="89" t="s">
        <v>452</v>
      </c>
      <c r="H46" s="89" t="s">
        <v>393</v>
      </c>
      <c r="I46" s="214" t="s">
        <v>455</v>
      </c>
      <c r="J46" s="89">
        <f t="shared" si="0"/>
        <v>0</v>
      </c>
      <c r="K46" s="498"/>
    </row>
    <row r="47" spans="1:11" x14ac:dyDescent="0.2">
      <c r="A47" s="116">
        <v>8000</v>
      </c>
      <c r="B47" s="227" t="s">
        <v>177</v>
      </c>
      <c r="C47" s="89" t="s">
        <v>393</v>
      </c>
      <c r="D47" s="89" t="s">
        <v>498</v>
      </c>
      <c r="E47" s="89" t="s">
        <v>450</v>
      </c>
      <c r="F47" s="89" t="s">
        <v>451</v>
      </c>
      <c r="G47" s="89" t="s">
        <v>452</v>
      </c>
      <c r="H47" s="89">
        <v>10728852</v>
      </c>
      <c r="I47" s="214" t="s">
        <v>455</v>
      </c>
      <c r="J47" s="89">
        <f t="shared" si="0"/>
        <v>10728852</v>
      </c>
      <c r="K47" s="498"/>
    </row>
    <row r="48" spans="1:11" hidden="1" x14ac:dyDescent="0.2">
      <c r="A48" s="116"/>
      <c r="B48" s="227" t="s">
        <v>445</v>
      </c>
      <c r="C48" s="89" t="s">
        <v>393</v>
      </c>
      <c r="D48" s="89" t="s">
        <v>498</v>
      </c>
      <c r="E48" s="89" t="s">
        <v>450</v>
      </c>
      <c r="F48" s="89" t="s">
        <v>451</v>
      </c>
      <c r="G48" s="89" t="s">
        <v>452</v>
      </c>
      <c r="H48" s="89" t="s">
        <v>393</v>
      </c>
      <c r="I48" s="214" t="s">
        <v>455</v>
      </c>
      <c r="J48" s="89">
        <f t="shared" si="0"/>
        <v>0</v>
      </c>
      <c r="K48" s="498"/>
    </row>
    <row r="49" spans="1:11" ht="15" thickBot="1" x14ac:dyDescent="0.25">
      <c r="A49" s="229"/>
      <c r="B49" s="100" t="s">
        <v>446</v>
      </c>
      <c r="C49" s="89" t="s">
        <v>393</v>
      </c>
      <c r="D49" s="89" t="s">
        <v>498</v>
      </c>
      <c r="E49" s="89" t="s">
        <v>450</v>
      </c>
      <c r="F49" s="89" t="s">
        <v>451</v>
      </c>
      <c r="G49" s="89" t="s">
        <v>452</v>
      </c>
      <c r="H49" s="89">
        <v>900000</v>
      </c>
      <c r="I49" s="214" t="s">
        <v>455</v>
      </c>
      <c r="J49" s="89">
        <f t="shared" si="0"/>
        <v>900000</v>
      </c>
      <c r="K49" s="498"/>
    </row>
    <row r="50" spans="1:11" ht="15" hidden="1" thickBot="1" x14ac:dyDescent="0.25">
      <c r="A50" s="230"/>
      <c r="B50" s="231" t="s">
        <v>255</v>
      </c>
      <c r="C50" s="232" t="s">
        <v>393</v>
      </c>
      <c r="D50" s="232" t="s">
        <v>498</v>
      </c>
      <c r="E50" s="232" t="s">
        <v>450</v>
      </c>
      <c r="F50" s="232" t="s">
        <v>451</v>
      </c>
      <c r="G50" s="232" t="s">
        <v>452</v>
      </c>
      <c r="H50" s="232" t="s">
        <v>393</v>
      </c>
      <c r="I50" s="316" t="s">
        <v>455</v>
      </c>
      <c r="J50" s="232">
        <f t="shared" si="0"/>
        <v>0</v>
      </c>
      <c r="K50" s="502"/>
    </row>
    <row r="51" spans="1:11" ht="15.75" thickBot="1" x14ac:dyDescent="0.3">
      <c r="A51" s="234"/>
      <c r="B51" s="235" t="s">
        <v>447</v>
      </c>
      <c r="C51" s="236">
        <f>SUM(C2:C50)</f>
        <v>53491564</v>
      </c>
      <c r="D51" s="236">
        <f>SUM(D2:D50)</f>
        <v>30332181</v>
      </c>
      <c r="E51" s="236">
        <f>SUM(E2:E50)</f>
        <v>14663721</v>
      </c>
      <c r="F51" s="236">
        <f t="shared" ref="F51:I51" si="1">SUM(F2:F50)</f>
        <v>7786484</v>
      </c>
      <c r="G51" s="236">
        <f t="shared" si="1"/>
        <v>50000</v>
      </c>
      <c r="H51" s="236">
        <f t="shared" si="1"/>
        <v>11628852</v>
      </c>
      <c r="I51" s="237">
        <f t="shared" si="1"/>
        <v>0</v>
      </c>
      <c r="J51" s="236">
        <f t="shared" si="0"/>
        <v>117952802</v>
      </c>
      <c r="K51" s="512"/>
    </row>
    <row r="52" spans="1:11" ht="15.75" thickBot="1" x14ac:dyDescent="0.3">
      <c r="A52" s="218" t="s">
        <v>448</v>
      </c>
      <c r="B52" s="95"/>
      <c r="C52" s="240">
        <v>0</v>
      </c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241">
        <v>0</v>
      </c>
      <c r="J52" s="144">
        <f t="shared" si="0"/>
        <v>0</v>
      </c>
      <c r="K52" s="505"/>
    </row>
    <row r="53" spans="1:11" ht="15.75" hidden="1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502"/>
    </row>
    <row r="54" spans="1:11" ht="20.25" customHeight="1" thickBot="1" x14ac:dyDescent="0.3">
      <c r="A54" s="245" t="s">
        <v>454</v>
      </c>
      <c r="B54" s="246"/>
      <c r="C54" s="247">
        <f>SUM(C51:C53)</f>
        <v>53491564</v>
      </c>
      <c r="D54" s="247">
        <f t="shared" ref="D54:H54" si="2">SUM(D51:D53)</f>
        <v>30332181</v>
      </c>
      <c r="E54" s="247">
        <f t="shared" si="2"/>
        <v>14663721</v>
      </c>
      <c r="F54" s="247">
        <f t="shared" si="2"/>
        <v>7786484</v>
      </c>
      <c r="G54" s="247">
        <f t="shared" si="2"/>
        <v>50000</v>
      </c>
      <c r="H54" s="247">
        <f t="shared" si="2"/>
        <v>11628852</v>
      </c>
      <c r="I54" s="248">
        <f>SUM(I51:I53)</f>
        <v>0</v>
      </c>
      <c r="J54" s="236">
        <f>SUM(C54:I54)</f>
        <v>117952802</v>
      </c>
      <c r="K54" s="512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505"/>
    </row>
    <row r="56" spans="1:11" ht="15" hidden="1" x14ac:dyDescent="0.25">
      <c r="A56" s="116"/>
      <c r="B56" s="95" t="s">
        <v>179</v>
      </c>
      <c r="C56" s="89" t="s">
        <v>393</v>
      </c>
      <c r="D56" s="89" t="s">
        <v>498</v>
      </c>
      <c r="E56" s="89" t="s">
        <v>450</v>
      </c>
      <c r="F56" s="89" t="s">
        <v>451</v>
      </c>
      <c r="G56" s="89" t="s">
        <v>452</v>
      </c>
      <c r="H56" s="89" t="s">
        <v>393</v>
      </c>
      <c r="I56" s="214" t="s">
        <v>455</v>
      </c>
      <c r="J56" s="89">
        <f t="shared" si="0"/>
        <v>0</v>
      </c>
      <c r="K56" s="513"/>
    </row>
    <row r="57" spans="1:11" ht="15" x14ac:dyDescent="0.25">
      <c r="A57" s="116"/>
      <c r="B57" s="95" t="s">
        <v>145</v>
      </c>
      <c r="C57" s="89">
        <v>95504</v>
      </c>
      <c r="D57" s="89">
        <v>23146</v>
      </c>
      <c r="E57" s="89">
        <v>5405</v>
      </c>
      <c r="F57" s="89" t="s">
        <v>451</v>
      </c>
      <c r="G57" s="89" t="s">
        <v>452</v>
      </c>
      <c r="H57" s="89" t="s">
        <v>393</v>
      </c>
      <c r="I57" s="214" t="s">
        <v>455</v>
      </c>
      <c r="J57" s="89">
        <f t="shared" si="0"/>
        <v>124055</v>
      </c>
      <c r="K57" s="513"/>
    </row>
    <row r="58" spans="1:11" ht="15" x14ac:dyDescent="0.25">
      <c r="A58" s="116"/>
      <c r="B58" s="95" t="s">
        <v>180</v>
      </c>
      <c r="C58" s="89">
        <v>41620</v>
      </c>
      <c r="D58" s="89">
        <v>2400</v>
      </c>
      <c r="E58" s="89">
        <v>37952</v>
      </c>
      <c r="F58" s="89" t="s">
        <v>451</v>
      </c>
      <c r="G58" s="89" t="s">
        <v>452</v>
      </c>
      <c r="H58" s="89" t="s">
        <v>393</v>
      </c>
      <c r="I58" s="214" t="s">
        <v>455</v>
      </c>
      <c r="J58" s="89">
        <f t="shared" si="0"/>
        <v>81972</v>
      </c>
      <c r="K58" s="513"/>
    </row>
    <row r="59" spans="1:11" ht="15" hidden="1" x14ac:dyDescent="0.25">
      <c r="A59" s="116"/>
      <c r="B59" s="95" t="s">
        <v>181</v>
      </c>
      <c r="C59" s="89" t="s">
        <v>393</v>
      </c>
      <c r="D59" s="89" t="s">
        <v>498</v>
      </c>
      <c r="E59" s="89" t="s">
        <v>450</v>
      </c>
      <c r="F59" s="89" t="s">
        <v>451</v>
      </c>
      <c r="G59" s="89" t="s">
        <v>452</v>
      </c>
      <c r="H59" s="89" t="s">
        <v>393</v>
      </c>
      <c r="I59" s="214" t="s">
        <v>455</v>
      </c>
      <c r="J59" s="89">
        <f t="shared" si="0"/>
        <v>0</v>
      </c>
      <c r="K59" s="513"/>
    </row>
    <row r="60" spans="1:11" ht="15" hidden="1" x14ac:dyDescent="0.25">
      <c r="A60" s="116"/>
      <c r="B60" s="95" t="s">
        <v>182</v>
      </c>
      <c r="C60" s="89" t="s">
        <v>393</v>
      </c>
      <c r="D60" s="89" t="s">
        <v>498</v>
      </c>
      <c r="E60" s="89" t="s">
        <v>450</v>
      </c>
      <c r="F60" s="89" t="s">
        <v>451</v>
      </c>
      <c r="G60" s="89" t="s">
        <v>452</v>
      </c>
      <c r="H60" s="89" t="s">
        <v>393</v>
      </c>
      <c r="I60" s="214" t="s">
        <v>455</v>
      </c>
      <c r="J60" s="89">
        <f t="shared" si="0"/>
        <v>0</v>
      </c>
      <c r="K60" s="513"/>
    </row>
    <row r="61" spans="1:11" ht="15" hidden="1" x14ac:dyDescent="0.25">
      <c r="A61" s="251"/>
      <c r="B61" s="100" t="s">
        <v>183</v>
      </c>
      <c r="C61" s="89" t="s">
        <v>393</v>
      </c>
      <c r="D61" s="89" t="s">
        <v>498</v>
      </c>
      <c r="E61" s="89" t="s">
        <v>450</v>
      </c>
      <c r="F61" s="89" t="s">
        <v>451</v>
      </c>
      <c r="G61" s="89" t="s">
        <v>452</v>
      </c>
      <c r="H61" s="89" t="s">
        <v>393</v>
      </c>
      <c r="I61" s="214" t="s">
        <v>455</v>
      </c>
      <c r="J61" s="89">
        <f t="shared" si="0"/>
        <v>0</v>
      </c>
      <c r="K61" s="513"/>
    </row>
    <row r="62" spans="1:11" ht="15" hidden="1" x14ac:dyDescent="0.25">
      <c r="A62" s="251"/>
      <c r="B62" s="100" t="s">
        <v>184</v>
      </c>
      <c r="C62" s="89" t="s">
        <v>393</v>
      </c>
      <c r="D62" s="89" t="s">
        <v>498</v>
      </c>
      <c r="E62" s="89" t="s">
        <v>450</v>
      </c>
      <c r="F62" s="89" t="s">
        <v>451</v>
      </c>
      <c r="G62" s="89" t="s">
        <v>452</v>
      </c>
      <c r="H62" s="89" t="s">
        <v>393</v>
      </c>
      <c r="I62" s="214" t="s">
        <v>455</v>
      </c>
      <c r="J62" s="89">
        <f t="shared" si="0"/>
        <v>0</v>
      </c>
      <c r="K62" s="513"/>
    </row>
    <row r="63" spans="1:11" ht="15" x14ac:dyDescent="0.25">
      <c r="A63" s="251"/>
      <c r="B63" s="100" t="s">
        <v>185</v>
      </c>
      <c r="C63" s="89" t="s">
        <v>393</v>
      </c>
      <c r="D63" s="89" t="s">
        <v>498</v>
      </c>
      <c r="E63" s="89">
        <v>598772</v>
      </c>
      <c r="F63" s="89" t="s">
        <v>451</v>
      </c>
      <c r="G63" s="89" t="s">
        <v>452</v>
      </c>
      <c r="H63" s="89" t="s">
        <v>393</v>
      </c>
      <c r="I63" s="214" t="s">
        <v>455</v>
      </c>
      <c r="J63" s="89">
        <f t="shared" si="0"/>
        <v>598772</v>
      </c>
      <c r="K63" s="513"/>
    </row>
    <row r="64" spans="1:11" ht="15" hidden="1" x14ac:dyDescent="0.25">
      <c r="A64" s="251"/>
      <c r="B64" s="100" t="s">
        <v>186</v>
      </c>
      <c r="C64" s="89" t="s">
        <v>393</v>
      </c>
      <c r="D64" s="89" t="s">
        <v>498</v>
      </c>
      <c r="E64" s="89" t="s">
        <v>450</v>
      </c>
      <c r="F64" s="89" t="s">
        <v>451</v>
      </c>
      <c r="G64" s="89" t="s">
        <v>452</v>
      </c>
      <c r="H64" s="89" t="s">
        <v>393</v>
      </c>
      <c r="I64" s="214" t="s">
        <v>455</v>
      </c>
      <c r="J64" s="89">
        <f t="shared" si="0"/>
        <v>0</v>
      </c>
      <c r="K64" s="513"/>
    </row>
    <row r="65" spans="1:11" ht="15" x14ac:dyDescent="0.25">
      <c r="A65" s="251"/>
      <c r="B65" s="100" t="s">
        <v>187</v>
      </c>
      <c r="C65" s="89" t="s">
        <v>393</v>
      </c>
      <c r="D65" s="89" t="s">
        <v>498</v>
      </c>
      <c r="E65" s="89">
        <v>28755600</v>
      </c>
      <c r="F65" s="89" t="s">
        <v>451</v>
      </c>
      <c r="G65" s="89" t="s">
        <v>452</v>
      </c>
      <c r="H65" s="89">
        <v>4064143</v>
      </c>
      <c r="I65" s="214" t="s">
        <v>455</v>
      </c>
      <c r="J65" s="89">
        <f t="shared" si="0"/>
        <v>32819743</v>
      </c>
      <c r="K65" s="513"/>
    </row>
    <row r="66" spans="1:11" ht="15" hidden="1" x14ac:dyDescent="0.25">
      <c r="A66" s="251"/>
      <c r="B66" s="100" t="s">
        <v>188</v>
      </c>
      <c r="C66" s="89" t="s">
        <v>393</v>
      </c>
      <c r="D66" s="89" t="s">
        <v>498</v>
      </c>
      <c r="E66" s="89" t="s">
        <v>450</v>
      </c>
      <c r="F66" s="89" t="s">
        <v>451</v>
      </c>
      <c r="G66" s="89" t="s">
        <v>452</v>
      </c>
      <c r="H66" s="89" t="s">
        <v>393</v>
      </c>
      <c r="I66" s="214" t="s">
        <v>455</v>
      </c>
      <c r="J66" s="89">
        <f t="shared" si="0"/>
        <v>0</v>
      </c>
      <c r="K66" s="513"/>
    </row>
    <row r="67" spans="1:11" ht="15" hidden="1" x14ac:dyDescent="0.25">
      <c r="A67" s="251"/>
      <c r="B67" s="100" t="s">
        <v>189</v>
      </c>
      <c r="C67" s="89" t="s">
        <v>393</v>
      </c>
      <c r="D67" s="89" t="s">
        <v>498</v>
      </c>
      <c r="E67" s="89" t="s">
        <v>450</v>
      </c>
      <c r="F67" s="89" t="s">
        <v>451</v>
      </c>
      <c r="G67" s="89" t="s">
        <v>452</v>
      </c>
      <c r="H67" s="89" t="s">
        <v>393</v>
      </c>
      <c r="I67" s="214" t="s">
        <v>455</v>
      </c>
      <c r="J67" s="89">
        <f t="shared" si="0"/>
        <v>0</v>
      </c>
      <c r="K67" s="513"/>
    </row>
    <row r="68" spans="1:11" ht="15" hidden="1" x14ac:dyDescent="0.25">
      <c r="A68" s="116"/>
      <c r="B68" s="95" t="s">
        <v>190</v>
      </c>
      <c r="C68" s="89" t="s">
        <v>393</v>
      </c>
      <c r="D68" s="89" t="s">
        <v>498</v>
      </c>
      <c r="E68" s="89" t="s">
        <v>450</v>
      </c>
      <c r="F68" s="89" t="s">
        <v>451</v>
      </c>
      <c r="G68" s="89" t="s">
        <v>452</v>
      </c>
      <c r="H68" s="89" t="s">
        <v>393</v>
      </c>
      <c r="I68" s="214" t="s">
        <v>455</v>
      </c>
      <c r="J68" s="89">
        <f t="shared" ref="J68:J131" si="3">SUM(C68:I68)</f>
        <v>0</v>
      </c>
      <c r="K68" s="513"/>
    </row>
    <row r="69" spans="1:11" ht="15" x14ac:dyDescent="0.25">
      <c r="A69" s="116"/>
      <c r="B69" s="95" t="s">
        <v>191</v>
      </c>
      <c r="C69" s="89">
        <v>2919215</v>
      </c>
      <c r="D69" s="89">
        <v>1375695</v>
      </c>
      <c r="E69" s="89" t="s">
        <v>450</v>
      </c>
      <c r="F69" s="89" t="s">
        <v>451</v>
      </c>
      <c r="G69" s="89" t="s">
        <v>452</v>
      </c>
      <c r="H69" s="89" t="s">
        <v>393</v>
      </c>
      <c r="I69" s="214" t="s">
        <v>455</v>
      </c>
      <c r="J69" s="89">
        <f t="shared" si="3"/>
        <v>4294910</v>
      </c>
      <c r="K69" s="513"/>
    </row>
    <row r="70" spans="1:11" ht="15" hidden="1" x14ac:dyDescent="0.25">
      <c r="A70" s="116"/>
      <c r="B70" s="95" t="s">
        <v>192</v>
      </c>
      <c r="C70" s="89" t="s">
        <v>393</v>
      </c>
      <c r="D70" s="89" t="s">
        <v>498</v>
      </c>
      <c r="E70" s="89" t="s">
        <v>450</v>
      </c>
      <c r="F70" s="89" t="s">
        <v>451</v>
      </c>
      <c r="G70" s="89" t="s">
        <v>452</v>
      </c>
      <c r="H70" s="89" t="s">
        <v>393</v>
      </c>
      <c r="I70" s="214" t="s">
        <v>455</v>
      </c>
      <c r="J70" s="89">
        <f t="shared" si="3"/>
        <v>0</v>
      </c>
      <c r="K70" s="513"/>
    </row>
    <row r="71" spans="1:11" ht="15" hidden="1" x14ac:dyDescent="0.25">
      <c r="A71" s="116"/>
      <c r="B71" s="95" t="s">
        <v>193</v>
      </c>
      <c r="C71" s="89" t="s">
        <v>393</v>
      </c>
      <c r="D71" s="89" t="s">
        <v>498</v>
      </c>
      <c r="E71" s="89" t="s">
        <v>450</v>
      </c>
      <c r="F71" s="89" t="s">
        <v>451</v>
      </c>
      <c r="G71" s="89" t="s">
        <v>452</v>
      </c>
      <c r="H71" s="89" t="s">
        <v>393</v>
      </c>
      <c r="I71" s="214" t="s">
        <v>455</v>
      </c>
      <c r="J71" s="89">
        <f t="shared" si="3"/>
        <v>0</v>
      </c>
      <c r="K71" s="513"/>
    </row>
    <row r="72" spans="1:11" ht="15" hidden="1" x14ac:dyDescent="0.25">
      <c r="A72" s="116"/>
      <c r="B72" s="95" t="s">
        <v>194</v>
      </c>
      <c r="C72" s="89" t="s">
        <v>393</v>
      </c>
      <c r="D72" s="89" t="s">
        <v>498</v>
      </c>
      <c r="E72" s="89" t="s">
        <v>450</v>
      </c>
      <c r="F72" s="89" t="s">
        <v>451</v>
      </c>
      <c r="G72" s="89" t="s">
        <v>452</v>
      </c>
      <c r="H72" s="89" t="s">
        <v>393</v>
      </c>
      <c r="I72" s="214" t="s">
        <v>455</v>
      </c>
      <c r="J72" s="89">
        <f t="shared" si="3"/>
        <v>0</v>
      </c>
      <c r="K72" s="513"/>
    </row>
    <row r="73" spans="1:11" ht="15" hidden="1" x14ac:dyDescent="0.25">
      <c r="A73" s="116"/>
      <c r="B73" s="95" t="s">
        <v>195</v>
      </c>
      <c r="C73" s="89" t="s">
        <v>393</v>
      </c>
      <c r="D73" s="89" t="s">
        <v>498</v>
      </c>
      <c r="E73" s="89" t="s">
        <v>450</v>
      </c>
      <c r="F73" s="89" t="s">
        <v>451</v>
      </c>
      <c r="G73" s="89" t="s">
        <v>452</v>
      </c>
      <c r="H73" s="89" t="s">
        <v>393</v>
      </c>
      <c r="I73" s="214" t="s">
        <v>455</v>
      </c>
      <c r="J73" s="89">
        <f t="shared" si="3"/>
        <v>0</v>
      </c>
      <c r="K73" s="513"/>
    </row>
    <row r="74" spans="1:11" ht="15" hidden="1" x14ac:dyDescent="0.25">
      <c r="A74" s="116"/>
      <c r="B74" s="95" t="s">
        <v>196</v>
      </c>
      <c r="C74" s="89" t="s">
        <v>393</v>
      </c>
      <c r="D74" s="89" t="s">
        <v>498</v>
      </c>
      <c r="E74" s="89" t="s">
        <v>450</v>
      </c>
      <c r="F74" s="89" t="s">
        <v>451</v>
      </c>
      <c r="G74" s="89" t="s">
        <v>452</v>
      </c>
      <c r="H74" s="89" t="s">
        <v>393</v>
      </c>
      <c r="I74" s="214" t="s">
        <v>455</v>
      </c>
      <c r="J74" s="89">
        <f t="shared" si="3"/>
        <v>0</v>
      </c>
      <c r="K74" s="513"/>
    </row>
    <row r="75" spans="1:11" ht="15" hidden="1" x14ac:dyDescent="0.25">
      <c r="A75" s="116"/>
      <c r="B75" s="95" t="s">
        <v>197</v>
      </c>
      <c r="C75" s="89" t="s">
        <v>393</v>
      </c>
      <c r="D75" s="89" t="s">
        <v>498</v>
      </c>
      <c r="E75" s="89" t="s">
        <v>450</v>
      </c>
      <c r="F75" s="89" t="s">
        <v>451</v>
      </c>
      <c r="G75" s="89" t="s">
        <v>452</v>
      </c>
      <c r="H75" s="89" t="s">
        <v>393</v>
      </c>
      <c r="I75" s="214" t="s">
        <v>455</v>
      </c>
      <c r="J75" s="89">
        <f t="shared" si="3"/>
        <v>0</v>
      </c>
      <c r="K75" s="513"/>
    </row>
    <row r="76" spans="1:11" ht="15" hidden="1" x14ac:dyDescent="0.25">
      <c r="A76" s="116"/>
      <c r="B76" s="95" t="s">
        <v>198</v>
      </c>
      <c r="C76" s="89" t="s">
        <v>393</v>
      </c>
      <c r="D76" s="89" t="s">
        <v>498</v>
      </c>
      <c r="E76" s="89" t="s">
        <v>450</v>
      </c>
      <c r="F76" s="89" t="s">
        <v>451</v>
      </c>
      <c r="G76" s="89" t="s">
        <v>452</v>
      </c>
      <c r="H76" s="89" t="s">
        <v>393</v>
      </c>
      <c r="I76" s="214" t="s">
        <v>455</v>
      </c>
      <c r="J76" s="89">
        <f t="shared" si="3"/>
        <v>0</v>
      </c>
      <c r="K76" s="513"/>
    </row>
    <row r="77" spans="1:11" ht="15" hidden="1" x14ac:dyDescent="0.25">
      <c r="A77" s="116"/>
      <c r="B77" s="95" t="s">
        <v>199</v>
      </c>
      <c r="C77" s="89" t="s">
        <v>393</v>
      </c>
      <c r="D77" s="89" t="s">
        <v>498</v>
      </c>
      <c r="E77" s="89" t="s">
        <v>450</v>
      </c>
      <c r="F77" s="89" t="s">
        <v>451</v>
      </c>
      <c r="G77" s="89" t="s">
        <v>452</v>
      </c>
      <c r="H77" s="89" t="s">
        <v>393</v>
      </c>
      <c r="I77" s="214" t="s">
        <v>455</v>
      </c>
      <c r="J77" s="89">
        <f t="shared" si="3"/>
        <v>0</v>
      </c>
      <c r="K77" s="513"/>
    </row>
    <row r="78" spans="1:11" ht="15" hidden="1" x14ac:dyDescent="0.25">
      <c r="A78" s="116"/>
      <c r="B78" s="95" t="s">
        <v>200</v>
      </c>
      <c r="C78" s="89" t="s">
        <v>393</v>
      </c>
      <c r="D78" s="89" t="s">
        <v>498</v>
      </c>
      <c r="E78" s="89" t="s">
        <v>450</v>
      </c>
      <c r="F78" s="89" t="s">
        <v>451</v>
      </c>
      <c r="G78" s="89" t="s">
        <v>452</v>
      </c>
      <c r="H78" s="89" t="s">
        <v>393</v>
      </c>
      <c r="I78" s="214" t="s">
        <v>455</v>
      </c>
      <c r="J78" s="89">
        <f t="shared" si="3"/>
        <v>0</v>
      </c>
      <c r="K78" s="513"/>
    </row>
    <row r="79" spans="1:11" ht="15" x14ac:dyDescent="0.25">
      <c r="A79" s="116"/>
      <c r="B79" s="95" t="s">
        <v>201</v>
      </c>
      <c r="C79" s="89" t="s">
        <v>393</v>
      </c>
      <c r="D79" s="89" t="s">
        <v>498</v>
      </c>
      <c r="E79" s="89">
        <v>5397</v>
      </c>
      <c r="F79" s="89" t="s">
        <v>451</v>
      </c>
      <c r="G79" s="89" t="s">
        <v>452</v>
      </c>
      <c r="H79" s="89">
        <v>43877</v>
      </c>
      <c r="I79" s="214" t="s">
        <v>455</v>
      </c>
      <c r="J79" s="89">
        <f t="shared" si="3"/>
        <v>49274</v>
      </c>
      <c r="K79" s="513"/>
    </row>
    <row r="80" spans="1:11" ht="15" hidden="1" x14ac:dyDescent="0.25">
      <c r="A80" s="116"/>
      <c r="B80" s="95" t="s">
        <v>202</v>
      </c>
      <c r="C80" s="89" t="s">
        <v>393</v>
      </c>
      <c r="D80" s="89" t="s">
        <v>498</v>
      </c>
      <c r="E80" s="89" t="s">
        <v>450</v>
      </c>
      <c r="F80" s="89" t="s">
        <v>451</v>
      </c>
      <c r="G80" s="89" t="s">
        <v>452</v>
      </c>
      <c r="H80" s="89" t="s">
        <v>393</v>
      </c>
      <c r="I80" s="214" t="s">
        <v>455</v>
      </c>
      <c r="J80" s="89">
        <f t="shared" si="3"/>
        <v>0</v>
      </c>
      <c r="K80" s="513"/>
    </row>
    <row r="81" spans="1:12" ht="15" hidden="1" x14ac:dyDescent="0.25">
      <c r="A81" s="116"/>
      <c r="B81" s="95" t="s">
        <v>203</v>
      </c>
      <c r="C81" s="89" t="s">
        <v>393</v>
      </c>
      <c r="D81" s="89" t="s">
        <v>498</v>
      </c>
      <c r="E81" s="89" t="s">
        <v>450</v>
      </c>
      <c r="F81" s="89" t="s">
        <v>451</v>
      </c>
      <c r="G81" s="89" t="s">
        <v>452</v>
      </c>
      <c r="H81" s="89" t="s">
        <v>393</v>
      </c>
      <c r="I81" s="214" t="s">
        <v>455</v>
      </c>
      <c r="J81" s="89">
        <f t="shared" si="3"/>
        <v>0</v>
      </c>
      <c r="K81" s="513"/>
    </row>
    <row r="82" spans="1:12" ht="15" x14ac:dyDescent="0.25">
      <c r="A82" s="116"/>
      <c r="B82" s="95" t="s">
        <v>204</v>
      </c>
      <c r="C82" s="89">
        <v>1881946</v>
      </c>
      <c r="D82" s="89">
        <v>890996</v>
      </c>
      <c r="E82" s="89">
        <v>1289357</v>
      </c>
      <c r="F82" s="89" t="s">
        <v>451</v>
      </c>
      <c r="G82" s="89" t="s">
        <v>452</v>
      </c>
      <c r="H82" s="89" t="s">
        <v>393</v>
      </c>
      <c r="I82" s="214" t="s">
        <v>455</v>
      </c>
      <c r="J82" s="89">
        <f t="shared" si="3"/>
        <v>4062299</v>
      </c>
      <c r="K82" s="513"/>
    </row>
    <row r="83" spans="1:12" ht="15" hidden="1" x14ac:dyDescent="0.25">
      <c r="A83" s="116"/>
      <c r="B83" s="95" t="s">
        <v>205</v>
      </c>
      <c r="C83" s="89" t="s">
        <v>393</v>
      </c>
      <c r="D83" s="89" t="s">
        <v>498</v>
      </c>
      <c r="E83" s="89" t="s">
        <v>450</v>
      </c>
      <c r="F83" s="89" t="s">
        <v>451</v>
      </c>
      <c r="G83" s="89" t="s">
        <v>452</v>
      </c>
      <c r="H83" s="89" t="s">
        <v>393</v>
      </c>
      <c r="I83" s="214" t="s">
        <v>455</v>
      </c>
      <c r="J83" s="89">
        <f t="shared" si="3"/>
        <v>0</v>
      </c>
      <c r="K83" s="513"/>
    </row>
    <row r="84" spans="1:12" x14ac:dyDescent="0.2">
      <c r="A84" s="116"/>
      <c r="B84" s="95" t="s">
        <v>206</v>
      </c>
      <c r="C84" s="89">
        <v>819483</v>
      </c>
      <c r="D84" s="89">
        <v>381800</v>
      </c>
      <c r="E84" s="89">
        <v>2350395</v>
      </c>
      <c r="F84" s="89" t="s">
        <v>451</v>
      </c>
      <c r="G84" s="89" t="s">
        <v>452</v>
      </c>
      <c r="H84" s="89" t="s">
        <v>393</v>
      </c>
      <c r="I84" s="214" t="s">
        <v>455</v>
      </c>
      <c r="J84" s="89">
        <f t="shared" si="3"/>
        <v>3551678</v>
      </c>
      <c r="K84" s="514"/>
    </row>
    <row r="85" spans="1:12" hidden="1" x14ac:dyDescent="0.2">
      <c r="A85" s="116"/>
      <c r="B85" s="95" t="s">
        <v>207</v>
      </c>
      <c r="C85" s="89" t="s">
        <v>393</v>
      </c>
      <c r="D85" s="89" t="s">
        <v>498</v>
      </c>
      <c r="E85" s="89" t="s">
        <v>450</v>
      </c>
      <c r="F85" s="89" t="s">
        <v>451</v>
      </c>
      <c r="G85" s="89" t="s">
        <v>452</v>
      </c>
      <c r="H85" s="89" t="s">
        <v>393</v>
      </c>
      <c r="I85" s="214" t="s">
        <v>455</v>
      </c>
      <c r="J85" s="89">
        <f t="shared" si="3"/>
        <v>0</v>
      </c>
      <c r="K85" s="514"/>
    </row>
    <row r="86" spans="1:12" ht="15" x14ac:dyDescent="0.25">
      <c r="A86" s="116"/>
      <c r="B86" s="95" t="s">
        <v>208</v>
      </c>
      <c r="C86" s="89" t="s">
        <v>393</v>
      </c>
      <c r="D86" s="89" t="s">
        <v>498</v>
      </c>
      <c r="E86" s="89">
        <v>4500</v>
      </c>
      <c r="F86" s="89" t="s">
        <v>451</v>
      </c>
      <c r="G86" s="89" t="s">
        <v>452</v>
      </c>
      <c r="H86" s="89">
        <v>3657</v>
      </c>
      <c r="I86" s="214" t="s">
        <v>455</v>
      </c>
      <c r="J86" s="89">
        <f t="shared" si="3"/>
        <v>8157</v>
      </c>
      <c r="K86" s="513"/>
    </row>
    <row r="87" spans="1:12" ht="15" hidden="1" x14ac:dyDescent="0.25">
      <c r="A87" s="116"/>
      <c r="B87" s="95" t="s">
        <v>209</v>
      </c>
      <c r="C87" s="89" t="s">
        <v>393</v>
      </c>
      <c r="D87" s="89" t="s">
        <v>498</v>
      </c>
      <c r="E87" s="89" t="s">
        <v>450</v>
      </c>
      <c r="F87" s="89" t="s">
        <v>451</v>
      </c>
      <c r="G87" s="89" t="s">
        <v>452</v>
      </c>
      <c r="H87" s="89" t="s">
        <v>393</v>
      </c>
      <c r="I87" s="214" t="s">
        <v>455</v>
      </c>
      <c r="J87" s="89">
        <f t="shared" si="3"/>
        <v>0</v>
      </c>
      <c r="K87" s="513"/>
    </row>
    <row r="88" spans="1:12" ht="15" hidden="1" x14ac:dyDescent="0.25">
      <c r="A88" s="116"/>
      <c r="B88" s="95" t="s">
        <v>210</v>
      </c>
      <c r="C88" s="89" t="s">
        <v>393</v>
      </c>
      <c r="D88" s="89" t="s">
        <v>498</v>
      </c>
      <c r="E88" s="89" t="s">
        <v>450</v>
      </c>
      <c r="F88" s="89" t="s">
        <v>451</v>
      </c>
      <c r="G88" s="89" t="s">
        <v>452</v>
      </c>
      <c r="H88" s="89" t="s">
        <v>393</v>
      </c>
      <c r="I88" s="214" t="s">
        <v>455</v>
      </c>
      <c r="J88" s="89">
        <f t="shared" si="3"/>
        <v>0</v>
      </c>
      <c r="K88" s="513"/>
      <c r="L88" s="77"/>
    </row>
    <row r="89" spans="1:12" ht="15" hidden="1" x14ac:dyDescent="0.25">
      <c r="A89" s="116"/>
      <c r="B89" s="95" t="s">
        <v>211</v>
      </c>
      <c r="C89" s="89" t="s">
        <v>393</v>
      </c>
      <c r="D89" s="89" t="s">
        <v>498</v>
      </c>
      <c r="E89" s="89" t="s">
        <v>450</v>
      </c>
      <c r="F89" s="89" t="s">
        <v>451</v>
      </c>
      <c r="G89" s="89" t="s">
        <v>452</v>
      </c>
      <c r="H89" s="89" t="s">
        <v>393</v>
      </c>
      <c r="I89" s="214" t="s">
        <v>455</v>
      </c>
      <c r="J89" s="89">
        <f t="shared" si="3"/>
        <v>0</v>
      </c>
      <c r="K89" s="513"/>
      <c r="L89" s="77"/>
    </row>
    <row r="90" spans="1:12" ht="15" hidden="1" x14ac:dyDescent="0.25">
      <c r="A90" s="116"/>
      <c r="B90" s="95" t="s">
        <v>212</v>
      </c>
      <c r="C90" s="89" t="s">
        <v>393</v>
      </c>
      <c r="D90" s="89" t="s">
        <v>498</v>
      </c>
      <c r="E90" s="89" t="s">
        <v>450</v>
      </c>
      <c r="F90" s="89" t="s">
        <v>451</v>
      </c>
      <c r="G90" s="89" t="s">
        <v>452</v>
      </c>
      <c r="H90" s="89" t="s">
        <v>393</v>
      </c>
      <c r="I90" s="214" t="s">
        <v>455</v>
      </c>
      <c r="J90" s="89">
        <f t="shared" si="3"/>
        <v>0</v>
      </c>
      <c r="K90" s="513"/>
      <c r="L90" s="77"/>
    </row>
    <row r="91" spans="1:12" ht="15" x14ac:dyDescent="0.25">
      <c r="A91" s="116"/>
      <c r="B91" s="95" t="s">
        <v>213</v>
      </c>
      <c r="C91" s="89" t="s">
        <v>393</v>
      </c>
      <c r="D91" s="89" t="s">
        <v>498</v>
      </c>
      <c r="E91" s="89">
        <v>1134445</v>
      </c>
      <c r="F91" s="89" t="s">
        <v>451</v>
      </c>
      <c r="G91" s="89" t="s">
        <v>452</v>
      </c>
      <c r="H91" s="89">
        <v>335731</v>
      </c>
      <c r="I91" s="214" t="s">
        <v>455</v>
      </c>
      <c r="J91" s="89">
        <f t="shared" si="3"/>
        <v>1470176</v>
      </c>
      <c r="K91" s="513"/>
      <c r="L91" s="77"/>
    </row>
    <row r="92" spans="1:12" hidden="1" x14ac:dyDescent="0.2">
      <c r="A92" s="116"/>
      <c r="B92" s="95" t="s">
        <v>214</v>
      </c>
      <c r="C92" s="89" t="s">
        <v>393</v>
      </c>
      <c r="D92" s="89" t="s">
        <v>498</v>
      </c>
      <c r="E92" s="89" t="s">
        <v>450</v>
      </c>
      <c r="F92" s="89" t="s">
        <v>451</v>
      </c>
      <c r="G92" s="89" t="s">
        <v>452</v>
      </c>
      <c r="H92" s="89" t="s">
        <v>393</v>
      </c>
      <c r="I92" s="214" t="s">
        <v>455</v>
      </c>
      <c r="J92" s="89">
        <f t="shared" si="3"/>
        <v>0</v>
      </c>
      <c r="K92" s="514"/>
    </row>
    <row r="93" spans="1:12" hidden="1" x14ac:dyDescent="0.2">
      <c r="A93" s="116"/>
      <c r="B93" s="95" t="s">
        <v>215</v>
      </c>
      <c r="C93" s="89" t="s">
        <v>393</v>
      </c>
      <c r="D93" s="89" t="s">
        <v>498</v>
      </c>
      <c r="E93" s="89" t="s">
        <v>450</v>
      </c>
      <c r="F93" s="89" t="s">
        <v>451</v>
      </c>
      <c r="G93" s="89" t="s">
        <v>452</v>
      </c>
      <c r="H93" s="89" t="s">
        <v>393</v>
      </c>
      <c r="I93" s="214" t="s">
        <v>455</v>
      </c>
      <c r="J93" s="89">
        <f t="shared" si="3"/>
        <v>0</v>
      </c>
      <c r="K93" s="514"/>
    </row>
    <row r="94" spans="1:12" hidden="1" x14ac:dyDescent="0.2">
      <c r="A94" s="116"/>
      <c r="B94" s="95" t="s">
        <v>216</v>
      </c>
      <c r="C94" s="89" t="s">
        <v>393</v>
      </c>
      <c r="D94" s="89" t="s">
        <v>498</v>
      </c>
      <c r="E94" s="89" t="s">
        <v>450</v>
      </c>
      <c r="F94" s="89" t="s">
        <v>451</v>
      </c>
      <c r="G94" s="89" t="s">
        <v>452</v>
      </c>
      <c r="H94" s="89" t="s">
        <v>393</v>
      </c>
      <c r="I94" s="214" t="s">
        <v>455</v>
      </c>
      <c r="J94" s="89">
        <f t="shared" si="3"/>
        <v>0</v>
      </c>
      <c r="K94" s="514"/>
    </row>
    <row r="95" spans="1:12" hidden="1" x14ac:dyDescent="0.2">
      <c r="A95" s="116"/>
      <c r="B95" s="95" t="s">
        <v>217</v>
      </c>
      <c r="C95" s="89" t="s">
        <v>393</v>
      </c>
      <c r="D95" s="89" t="s">
        <v>498</v>
      </c>
      <c r="E95" s="89" t="s">
        <v>450</v>
      </c>
      <c r="F95" s="89" t="s">
        <v>451</v>
      </c>
      <c r="G95" s="89" t="s">
        <v>452</v>
      </c>
      <c r="H95" s="89" t="s">
        <v>393</v>
      </c>
      <c r="I95" s="214" t="s">
        <v>455</v>
      </c>
      <c r="J95" s="89">
        <f t="shared" si="3"/>
        <v>0</v>
      </c>
      <c r="K95" s="514"/>
    </row>
    <row r="96" spans="1:12" hidden="1" x14ac:dyDescent="0.2">
      <c r="A96" s="116"/>
      <c r="B96" s="95" t="s">
        <v>218</v>
      </c>
      <c r="C96" s="89" t="s">
        <v>393</v>
      </c>
      <c r="D96" s="89" t="s">
        <v>498</v>
      </c>
      <c r="E96" s="89" t="s">
        <v>450</v>
      </c>
      <c r="F96" s="89" t="s">
        <v>451</v>
      </c>
      <c r="G96" s="89" t="s">
        <v>452</v>
      </c>
      <c r="H96" s="89" t="s">
        <v>393</v>
      </c>
      <c r="I96" s="214" t="s">
        <v>455</v>
      </c>
      <c r="J96" s="89">
        <f t="shared" si="3"/>
        <v>0</v>
      </c>
      <c r="K96" s="514"/>
    </row>
    <row r="97" spans="1:11" x14ac:dyDescent="0.2">
      <c r="A97" s="116"/>
      <c r="B97" s="95" t="s">
        <v>219</v>
      </c>
      <c r="C97" s="89">
        <v>135252</v>
      </c>
      <c r="D97" s="89">
        <v>47637</v>
      </c>
      <c r="E97" s="89">
        <v>708711</v>
      </c>
      <c r="F97" s="89" t="s">
        <v>451</v>
      </c>
      <c r="G97" s="89" t="s">
        <v>452</v>
      </c>
      <c r="H97" s="89" t="s">
        <v>393</v>
      </c>
      <c r="I97" s="214" t="s">
        <v>455</v>
      </c>
      <c r="J97" s="89">
        <f t="shared" si="3"/>
        <v>891600</v>
      </c>
      <c r="K97" s="514"/>
    </row>
    <row r="98" spans="1:11" ht="15" hidden="1" x14ac:dyDescent="0.25">
      <c r="A98" s="251"/>
      <c r="B98" s="100" t="s">
        <v>220</v>
      </c>
      <c r="C98" s="89" t="s">
        <v>393</v>
      </c>
      <c r="D98" s="89" t="s">
        <v>498</v>
      </c>
      <c r="E98" s="89" t="s">
        <v>450</v>
      </c>
      <c r="F98" s="89" t="s">
        <v>451</v>
      </c>
      <c r="G98" s="89" t="s">
        <v>452</v>
      </c>
      <c r="H98" s="89" t="s">
        <v>393</v>
      </c>
      <c r="I98" s="214" t="s">
        <v>455</v>
      </c>
      <c r="J98" s="89">
        <f t="shared" si="3"/>
        <v>0</v>
      </c>
      <c r="K98" s="513"/>
    </row>
    <row r="99" spans="1:11" ht="15" hidden="1" x14ac:dyDescent="0.25">
      <c r="A99" s="251"/>
      <c r="B99" s="100" t="s">
        <v>221</v>
      </c>
      <c r="C99" s="89" t="s">
        <v>393</v>
      </c>
      <c r="D99" s="89" t="s">
        <v>498</v>
      </c>
      <c r="E99" s="89" t="s">
        <v>450</v>
      </c>
      <c r="F99" s="89" t="s">
        <v>451</v>
      </c>
      <c r="G99" s="89" t="s">
        <v>452</v>
      </c>
      <c r="H99" s="89" t="s">
        <v>393</v>
      </c>
      <c r="I99" s="214" t="s">
        <v>455</v>
      </c>
      <c r="J99" s="89">
        <f t="shared" si="3"/>
        <v>0</v>
      </c>
      <c r="K99" s="513"/>
    </row>
    <row r="100" spans="1:11" hidden="1" x14ac:dyDescent="0.2">
      <c r="A100" s="210" t="s">
        <v>10</v>
      </c>
      <c r="B100" s="211" t="s">
        <v>142</v>
      </c>
      <c r="C100" s="89" t="s">
        <v>393</v>
      </c>
      <c r="D100" s="89" t="s">
        <v>498</v>
      </c>
      <c r="E100" s="89" t="s">
        <v>450</v>
      </c>
      <c r="F100" s="89" t="s">
        <v>451</v>
      </c>
      <c r="G100" s="89" t="s">
        <v>452</v>
      </c>
      <c r="H100" s="89" t="s">
        <v>393</v>
      </c>
      <c r="I100" s="214" t="s">
        <v>455</v>
      </c>
      <c r="J100" s="89">
        <f t="shared" si="3"/>
        <v>0</v>
      </c>
      <c r="K100" s="515"/>
    </row>
    <row r="101" spans="1:11" hidden="1" x14ac:dyDescent="0.2">
      <c r="A101" s="210" t="s">
        <v>10</v>
      </c>
      <c r="B101" s="211" t="s">
        <v>141</v>
      </c>
      <c r="C101" s="89" t="s">
        <v>393</v>
      </c>
      <c r="D101" s="89" t="s">
        <v>498</v>
      </c>
      <c r="E101" s="89" t="s">
        <v>450</v>
      </c>
      <c r="F101" s="89" t="s">
        <v>451</v>
      </c>
      <c r="G101" s="89" t="s">
        <v>452</v>
      </c>
      <c r="H101" s="89" t="s">
        <v>393</v>
      </c>
      <c r="I101" s="214" t="s">
        <v>455</v>
      </c>
      <c r="J101" s="89">
        <f t="shared" si="3"/>
        <v>0</v>
      </c>
      <c r="K101" s="515"/>
    </row>
    <row r="102" spans="1:11" hidden="1" x14ac:dyDescent="0.2">
      <c r="A102" s="210" t="s">
        <v>33</v>
      </c>
      <c r="B102" s="211" t="s">
        <v>222</v>
      </c>
      <c r="C102" s="89" t="s">
        <v>393</v>
      </c>
      <c r="D102" s="89" t="s">
        <v>498</v>
      </c>
      <c r="E102" s="89" t="s">
        <v>450</v>
      </c>
      <c r="F102" s="89" t="s">
        <v>451</v>
      </c>
      <c r="G102" s="89" t="s">
        <v>452</v>
      </c>
      <c r="H102" s="89" t="s">
        <v>393</v>
      </c>
      <c r="I102" s="214" t="s">
        <v>455</v>
      </c>
      <c r="J102" s="89">
        <f t="shared" si="3"/>
        <v>0</v>
      </c>
      <c r="K102" s="515"/>
    </row>
    <row r="103" spans="1:11" hidden="1" x14ac:dyDescent="0.2">
      <c r="A103" s="210" t="s">
        <v>10</v>
      </c>
      <c r="B103" s="211" t="s">
        <v>138</v>
      </c>
      <c r="C103" s="89" t="s">
        <v>393</v>
      </c>
      <c r="D103" s="89" t="s">
        <v>498</v>
      </c>
      <c r="E103" s="89" t="s">
        <v>450</v>
      </c>
      <c r="F103" s="89" t="s">
        <v>451</v>
      </c>
      <c r="G103" s="89" t="s">
        <v>452</v>
      </c>
      <c r="H103" s="89" t="s">
        <v>393</v>
      </c>
      <c r="I103" s="214" t="s">
        <v>455</v>
      </c>
      <c r="J103" s="89">
        <f t="shared" si="3"/>
        <v>0</v>
      </c>
      <c r="K103" s="515"/>
    </row>
    <row r="104" spans="1:11" hidden="1" x14ac:dyDescent="0.2">
      <c r="A104" s="210" t="s">
        <v>10</v>
      </c>
      <c r="B104" s="211" t="s">
        <v>136</v>
      </c>
      <c r="C104" s="89" t="s">
        <v>393</v>
      </c>
      <c r="D104" s="89" t="s">
        <v>498</v>
      </c>
      <c r="E104" s="89" t="s">
        <v>450</v>
      </c>
      <c r="F104" s="89" t="s">
        <v>451</v>
      </c>
      <c r="G104" s="89" t="s">
        <v>452</v>
      </c>
      <c r="H104" s="89" t="s">
        <v>393</v>
      </c>
      <c r="I104" s="214" t="s">
        <v>455</v>
      </c>
      <c r="J104" s="89">
        <f t="shared" si="3"/>
        <v>0</v>
      </c>
      <c r="K104" s="515"/>
    </row>
    <row r="105" spans="1:11" hidden="1" x14ac:dyDescent="0.2">
      <c r="A105" s="257"/>
      <c r="B105" s="95" t="s">
        <v>223</v>
      </c>
      <c r="C105" s="89" t="s">
        <v>393</v>
      </c>
      <c r="D105" s="89" t="s">
        <v>498</v>
      </c>
      <c r="E105" s="89" t="s">
        <v>450</v>
      </c>
      <c r="F105" s="89" t="s">
        <v>451</v>
      </c>
      <c r="G105" s="89" t="s">
        <v>452</v>
      </c>
      <c r="H105" s="89" t="s">
        <v>393</v>
      </c>
      <c r="I105" s="214" t="s">
        <v>455</v>
      </c>
      <c r="J105" s="89">
        <f t="shared" si="3"/>
        <v>0</v>
      </c>
      <c r="K105" s="514"/>
    </row>
    <row r="106" spans="1:11" hidden="1" x14ac:dyDescent="0.2">
      <c r="A106" s="257"/>
      <c r="B106" s="95" t="s">
        <v>224</v>
      </c>
      <c r="C106" s="89" t="s">
        <v>393</v>
      </c>
      <c r="D106" s="89" t="s">
        <v>498</v>
      </c>
      <c r="E106" s="89" t="s">
        <v>450</v>
      </c>
      <c r="F106" s="89" t="s">
        <v>451</v>
      </c>
      <c r="G106" s="89" t="s">
        <v>452</v>
      </c>
      <c r="H106" s="89" t="s">
        <v>393</v>
      </c>
      <c r="I106" s="214" t="s">
        <v>455</v>
      </c>
      <c r="J106" s="89">
        <f t="shared" si="3"/>
        <v>0</v>
      </c>
      <c r="K106" s="514"/>
    </row>
    <row r="107" spans="1:11" hidden="1" x14ac:dyDescent="0.2">
      <c r="A107" s="257"/>
      <c r="B107" s="95" t="s">
        <v>225</v>
      </c>
      <c r="C107" s="89" t="s">
        <v>393</v>
      </c>
      <c r="D107" s="89" t="s">
        <v>498</v>
      </c>
      <c r="E107" s="89" t="s">
        <v>450</v>
      </c>
      <c r="F107" s="89" t="s">
        <v>451</v>
      </c>
      <c r="G107" s="89" t="s">
        <v>452</v>
      </c>
      <c r="H107" s="89" t="s">
        <v>393</v>
      </c>
      <c r="I107" s="214" t="s">
        <v>455</v>
      </c>
      <c r="J107" s="89">
        <f t="shared" si="3"/>
        <v>0</v>
      </c>
      <c r="K107" s="514"/>
    </row>
    <row r="108" spans="1:11" hidden="1" x14ac:dyDescent="0.2">
      <c r="A108" s="257"/>
      <c r="B108" s="95" t="s">
        <v>226</v>
      </c>
      <c r="C108" s="89" t="s">
        <v>393</v>
      </c>
      <c r="D108" s="89" t="s">
        <v>498</v>
      </c>
      <c r="E108" s="89" t="s">
        <v>450</v>
      </c>
      <c r="F108" s="89" t="s">
        <v>451</v>
      </c>
      <c r="G108" s="89" t="s">
        <v>452</v>
      </c>
      <c r="H108" s="89" t="s">
        <v>393</v>
      </c>
      <c r="I108" s="214" t="s">
        <v>455</v>
      </c>
      <c r="J108" s="89">
        <f t="shared" si="3"/>
        <v>0</v>
      </c>
      <c r="K108" s="514"/>
    </row>
    <row r="109" spans="1:11" ht="15" hidden="1" x14ac:dyDescent="0.25">
      <c r="A109" s="116"/>
      <c r="B109" s="95" t="s">
        <v>227</v>
      </c>
      <c r="C109" s="89" t="s">
        <v>393</v>
      </c>
      <c r="D109" s="89" t="s">
        <v>498</v>
      </c>
      <c r="E109" s="89" t="s">
        <v>450</v>
      </c>
      <c r="F109" s="89" t="s">
        <v>451</v>
      </c>
      <c r="G109" s="89" t="s">
        <v>452</v>
      </c>
      <c r="H109" s="89" t="s">
        <v>393</v>
      </c>
      <c r="I109" s="214" t="s">
        <v>455</v>
      </c>
      <c r="J109" s="89">
        <f t="shared" si="3"/>
        <v>0</v>
      </c>
      <c r="K109" s="513"/>
    </row>
    <row r="110" spans="1:11" ht="15" hidden="1" x14ac:dyDescent="0.25">
      <c r="A110" s="116"/>
      <c r="B110" s="95" t="s">
        <v>228</v>
      </c>
      <c r="C110" s="89" t="s">
        <v>393</v>
      </c>
      <c r="D110" s="89" t="s">
        <v>498</v>
      </c>
      <c r="E110" s="89" t="s">
        <v>450</v>
      </c>
      <c r="F110" s="89" t="s">
        <v>451</v>
      </c>
      <c r="G110" s="89" t="s">
        <v>452</v>
      </c>
      <c r="H110" s="89" t="s">
        <v>393</v>
      </c>
      <c r="I110" s="214" t="s">
        <v>455</v>
      </c>
      <c r="J110" s="89">
        <f t="shared" si="3"/>
        <v>0</v>
      </c>
      <c r="K110" s="513"/>
    </row>
    <row r="111" spans="1:11" ht="15" hidden="1" x14ac:dyDescent="0.25">
      <c r="A111" s="116"/>
      <c r="B111" s="95" t="s">
        <v>229</v>
      </c>
      <c r="C111" s="89" t="s">
        <v>393</v>
      </c>
      <c r="D111" s="89" t="s">
        <v>498</v>
      </c>
      <c r="E111" s="89" t="s">
        <v>450</v>
      </c>
      <c r="F111" s="89" t="s">
        <v>451</v>
      </c>
      <c r="G111" s="89" t="s">
        <v>452</v>
      </c>
      <c r="H111" s="89" t="s">
        <v>393</v>
      </c>
      <c r="I111" s="214" t="s">
        <v>455</v>
      </c>
      <c r="J111" s="89">
        <f t="shared" si="3"/>
        <v>0</v>
      </c>
      <c r="K111" s="513"/>
    </row>
    <row r="112" spans="1:11" ht="15" hidden="1" x14ac:dyDescent="0.25">
      <c r="A112" s="116"/>
      <c r="B112" s="95" t="s">
        <v>230</v>
      </c>
      <c r="C112" s="89" t="s">
        <v>393</v>
      </c>
      <c r="D112" s="89" t="s">
        <v>498</v>
      </c>
      <c r="E112" s="89" t="s">
        <v>450</v>
      </c>
      <c r="F112" s="89" t="s">
        <v>451</v>
      </c>
      <c r="G112" s="89" t="s">
        <v>452</v>
      </c>
      <c r="H112" s="89" t="s">
        <v>393</v>
      </c>
      <c r="I112" s="214" t="s">
        <v>455</v>
      </c>
      <c r="J112" s="89">
        <f t="shared" si="3"/>
        <v>0</v>
      </c>
      <c r="K112" s="513"/>
    </row>
    <row r="113" spans="1:11" ht="15" hidden="1" x14ac:dyDescent="0.25">
      <c r="A113" s="116"/>
      <c r="B113" s="95" t="s">
        <v>231</v>
      </c>
      <c r="C113" s="89" t="s">
        <v>393</v>
      </c>
      <c r="D113" s="89" t="s">
        <v>498</v>
      </c>
      <c r="E113" s="89" t="s">
        <v>450</v>
      </c>
      <c r="F113" s="89" t="s">
        <v>451</v>
      </c>
      <c r="G113" s="89" t="s">
        <v>452</v>
      </c>
      <c r="H113" s="89" t="s">
        <v>393</v>
      </c>
      <c r="I113" s="214" t="s">
        <v>455</v>
      </c>
      <c r="J113" s="89">
        <f t="shared" si="3"/>
        <v>0</v>
      </c>
      <c r="K113" s="513"/>
    </row>
    <row r="114" spans="1:11" ht="15" hidden="1" x14ac:dyDescent="0.25">
      <c r="A114" s="116"/>
      <c r="B114" s="95" t="s">
        <v>232</v>
      </c>
      <c r="C114" s="89" t="s">
        <v>393</v>
      </c>
      <c r="D114" s="89" t="s">
        <v>498</v>
      </c>
      <c r="E114" s="89" t="s">
        <v>450</v>
      </c>
      <c r="F114" s="89" t="s">
        <v>451</v>
      </c>
      <c r="G114" s="89" t="s">
        <v>452</v>
      </c>
      <c r="H114" s="89" t="s">
        <v>393</v>
      </c>
      <c r="I114" s="214" t="s">
        <v>455</v>
      </c>
      <c r="J114" s="89">
        <f t="shared" si="3"/>
        <v>0</v>
      </c>
      <c r="K114" s="513"/>
    </row>
    <row r="115" spans="1:11" ht="15" hidden="1" x14ac:dyDescent="0.25">
      <c r="A115" s="116"/>
      <c r="B115" s="95" t="s">
        <v>233</v>
      </c>
      <c r="C115" s="89" t="s">
        <v>393</v>
      </c>
      <c r="D115" s="89" t="s">
        <v>498</v>
      </c>
      <c r="E115" s="89" t="s">
        <v>450</v>
      </c>
      <c r="F115" s="89" t="s">
        <v>451</v>
      </c>
      <c r="G115" s="89" t="s">
        <v>452</v>
      </c>
      <c r="H115" s="89" t="s">
        <v>393</v>
      </c>
      <c r="I115" s="214" t="s">
        <v>455</v>
      </c>
      <c r="J115" s="89">
        <f t="shared" si="3"/>
        <v>0</v>
      </c>
      <c r="K115" s="513"/>
    </row>
    <row r="116" spans="1:11" ht="15" hidden="1" x14ac:dyDescent="0.25">
      <c r="A116" s="116"/>
      <c r="B116" s="95" t="s">
        <v>234</v>
      </c>
      <c r="C116" s="89" t="s">
        <v>393</v>
      </c>
      <c r="D116" s="89" t="s">
        <v>498</v>
      </c>
      <c r="E116" s="89" t="s">
        <v>450</v>
      </c>
      <c r="F116" s="89" t="s">
        <v>451</v>
      </c>
      <c r="G116" s="89" t="s">
        <v>452</v>
      </c>
      <c r="H116" s="89" t="s">
        <v>393</v>
      </c>
      <c r="I116" s="214" t="s">
        <v>455</v>
      </c>
      <c r="J116" s="89">
        <f t="shared" si="3"/>
        <v>0</v>
      </c>
      <c r="K116" s="513"/>
    </row>
    <row r="117" spans="1:11" ht="15" x14ac:dyDescent="0.25">
      <c r="A117" s="116"/>
      <c r="B117" s="95" t="s">
        <v>9</v>
      </c>
      <c r="C117" s="89">
        <v>7036457</v>
      </c>
      <c r="D117" s="89">
        <v>3297802</v>
      </c>
      <c r="E117" s="89">
        <v>564000</v>
      </c>
      <c r="F117" s="89" t="s">
        <v>451</v>
      </c>
      <c r="G117" s="89" t="s">
        <v>452</v>
      </c>
      <c r="H117" s="89" t="s">
        <v>393</v>
      </c>
      <c r="I117" s="214" t="s">
        <v>455</v>
      </c>
      <c r="J117" s="89">
        <f t="shared" si="3"/>
        <v>10898259</v>
      </c>
      <c r="K117" s="509" t="s">
        <v>614</v>
      </c>
    </row>
    <row r="118" spans="1:11" ht="15" hidden="1" x14ac:dyDescent="0.25">
      <c r="A118" s="116"/>
      <c r="B118" s="95" t="s">
        <v>235</v>
      </c>
      <c r="C118" s="89" t="s">
        <v>393</v>
      </c>
      <c r="D118" s="89" t="s">
        <v>498</v>
      </c>
      <c r="E118" s="89" t="s">
        <v>450</v>
      </c>
      <c r="F118" s="89" t="s">
        <v>451</v>
      </c>
      <c r="G118" s="89" t="s">
        <v>452</v>
      </c>
      <c r="H118" s="89" t="s">
        <v>393</v>
      </c>
      <c r="I118" s="214" t="s">
        <v>455</v>
      </c>
      <c r="J118" s="89">
        <f t="shared" si="3"/>
        <v>0</v>
      </c>
      <c r="K118" s="513"/>
    </row>
    <row r="119" spans="1:11" ht="15" x14ac:dyDescent="0.25">
      <c r="A119" s="116"/>
      <c r="B119" s="95" t="s">
        <v>236</v>
      </c>
      <c r="C119" s="89">
        <v>2707942</v>
      </c>
      <c r="D119" s="89">
        <v>995281</v>
      </c>
      <c r="E119" s="89">
        <v>4327834</v>
      </c>
      <c r="F119" s="89" t="s">
        <v>451</v>
      </c>
      <c r="G119" s="89" t="s">
        <v>452</v>
      </c>
      <c r="H119" s="89" t="s">
        <v>393</v>
      </c>
      <c r="I119" s="214" t="s">
        <v>455</v>
      </c>
      <c r="J119" s="89">
        <f t="shared" si="3"/>
        <v>8031057</v>
      </c>
      <c r="K119" s="513"/>
    </row>
    <row r="120" spans="1:11" ht="15" hidden="1" x14ac:dyDescent="0.25">
      <c r="A120" s="116"/>
      <c r="B120" s="95" t="s">
        <v>237</v>
      </c>
      <c r="C120" s="89" t="s">
        <v>393</v>
      </c>
      <c r="D120" s="89" t="s">
        <v>498</v>
      </c>
      <c r="E120" s="89" t="s">
        <v>450</v>
      </c>
      <c r="F120" s="89" t="s">
        <v>451</v>
      </c>
      <c r="G120" s="89" t="s">
        <v>452</v>
      </c>
      <c r="H120" s="89" t="s">
        <v>393</v>
      </c>
      <c r="I120" s="214" t="s">
        <v>455</v>
      </c>
      <c r="J120" s="89">
        <f t="shared" si="3"/>
        <v>0</v>
      </c>
      <c r="K120" s="513"/>
    </row>
    <row r="121" spans="1:11" ht="15" hidden="1" x14ac:dyDescent="0.25">
      <c r="A121" s="116"/>
      <c r="B121" s="95" t="s">
        <v>238</v>
      </c>
      <c r="C121" s="89" t="s">
        <v>393</v>
      </c>
      <c r="D121" s="89" t="s">
        <v>498</v>
      </c>
      <c r="E121" s="89" t="s">
        <v>450</v>
      </c>
      <c r="F121" s="89" t="s">
        <v>451</v>
      </c>
      <c r="G121" s="89" t="s">
        <v>452</v>
      </c>
      <c r="H121" s="89" t="s">
        <v>393</v>
      </c>
      <c r="I121" s="214" t="s">
        <v>455</v>
      </c>
      <c r="J121" s="89">
        <f t="shared" si="3"/>
        <v>0</v>
      </c>
      <c r="K121" s="513"/>
    </row>
    <row r="122" spans="1:11" ht="15" hidden="1" x14ac:dyDescent="0.25">
      <c r="A122" s="251"/>
      <c r="B122" s="100" t="s">
        <v>239</v>
      </c>
      <c r="C122" s="89" t="s">
        <v>393</v>
      </c>
      <c r="D122" s="89" t="s">
        <v>498</v>
      </c>
      <c r="E122" s="89" t="s">
        <v>450</v>
      </c>
      <c r="F122" s="89" t="s">
        <v>451</v>
      </c>
      <c r="G122" s="89" t="s">
        <v>452</v>
      </c>
      <c r="H122" s="89" t="s">
        <v>393</v>
      </c>
      <c r="I122" s="214" t="s">
        <v>455</v>
      </c>
      <c r="J122" s="89">
        <f t="shared" si="3"/>
        <v>0</v>
      </c>
      <c r="K122" s="513"/>
    </row>
    <row r="123" spans="1:11" ht="15" hidden="1" x14ac:dyDescent="0.25">
      <c r="A123" s="251"/>
      <c r="B123" s="100" t="s">
        <v>240</v>
      </c>
      <c r="C123" s="89" t="s">
        <v>393</v>
      </c>
      <c r="D123" s="89" t="s">
        <v>498</v>
      </c>
      <c r="E123" s="89" t="s">
        <v>450</v>
      </c>
      <c r="F123" s="89" t="s">
        <v>451</v>
      </c>
      <c r="G123" s="89" t="s">
        <v>452</v>
      </c>
      <c r="H123" s="89" t="s">
        <v>393</v>
      </c>
      <c r="I123" s="214" t="s">
        <v>455</v>
      </c>
      <c r="J123" s="89">
        <f t="shared" si="3"/>
        <v>0</v>
      </c>
      <c r="K123" s="513"/>
    </row>
    <row r="124" spans="1:11" ht="15" hidden="1" x14ac:dyDescent="0.25">
      <c r="A124" s="251"/>
      <c r="B124" s="100" t="s">
        <v>241</v>
      </c>
      <c r="C124" s="89" t="s">
        <v>393</v>
      </c>
      <c r="D124" s="89" t="s">
        <v>498</v>
      </c>
      <c r="E124" s="89" t="s">
        <v>450</v>
      </c>
      <c r="F124" s="89" t="s">
        <v>451</v>
      </c>
      <c r="G124" s="89" t="s">
        <v>452</v>
      </c>
      <c r="H124" s="89" t="s">
        <v>393</v>
      </c>
      <c r="I124" s="214" t="s">
        <v>455</v>
      </c>
      <c r="J124" s="89">
        <f t="shared" si="3"/>
        <v>0</v>
      </c>
      <c r="K124" s="513"/>
    </row>
    <row r="125" spans="1:11" ht="15" hidden="1" x14ac:dyDescent="0.25">
      <c r="A125" s="258"/>
      <c r="B125" s="244" t="s">
        <v>242</v>
      </c>
      <c r="C125" s="89" t="s">
        <v>393</v>
      </c>
      <c r="D125" s="89" t="s">
        <v>498</v>
      </c>
      <c r="E125" s="89" t="s">
        <v>450</v>
      </c>
      <c r="F125" s="89" t="s">
        <v>451</v>
      </c>
      <c r="G125" s="89" t="s">
        <v>452</v>
      </c>
      <c r="H125" s="89" t="s">
        <v>393</v>
      </c>
      <c r="I125" s="214" t="s">
        <v>455</v>
      </c>
      <c r="J125" s="89">
        <f t="shared" si="3"/>
        <v>0</v>
      </c>
      <c r="K125" s="513"/>
    </row>
    <row r="126" spans="1:11" ht="15" hidden="1" x14ac:dyDescent="0.25">
      <c r="A126" s="251"/>
      <c r="B126" s="100" t="s">
        <v>243</v>
      </c>
      <c r="C126" s="89" t="s">
        <v>393</v>
      </c>
      <c r="D126" s="89" t="s">
        <v>498</v>
      </c>
      <c r="E126" s="89" t="s">
        <v>450</v>
      </c>
      <c r="F126" s="89" t="s">
        <v>451</v>
      </c>
      <c r="G126" s="89" t="s">
        <v>452</v>
      </c>
      <c r="H126" s="89" t="s">
        <v>393</v>
      </c>
      <c r="I126" s="214" t="s">
        <v>455</v>
      </c>
      <c r="J126" s="89">
        <f t="shared" si="3"/>
        <v>0</v>
      </c>
      <c r="K126" s="513"/>
    </row>
    <row r="127" spans="1:11" ht="15" hidden="1" x14ac:dyDescent="0.25">
      <c r="A127" s="251"/>
      <c r="B127" s="100" t="s">
        <v>244</v>
      </c>
      <c r="C127" s="89" t="s">
        <v>393</v>
      </c>
      <c r="D127" s="89" t="s">
        <v>498</v>
      </c>
      <c r="E127" s="89" t="s">
        <v>450</v>
      </c>
      <c r="F127" s="89" t="s">
        <v>451</v>
      </c>
      <c r="G127" s="89" t="s">
        <v>452</v>
      </c>
      <c r="H127" s="89" t="s">
        <v>393</v>
      </c>
      <c r="I127" s="214" t="s">
        <v>455</v>
      </c>
      <c r="J127" s="89">
        <f t="shared" si="3"/>
        <v>0</v>
      </c>
      <c r="K127" s="513"/>
    </row>
    <row r="128" spans="1:11" ht="15" hidden="1" x14ac:dyDescent="0.25">
      <c r="A128" s="260" t="s">
        <v>245</v>
      </c>
      <c r="B128" s="317"/>
      <c r="C128" s="89"/>
      <c r="D128" s="89"/>
      <c r="E128" s="89"/>
      <c r="F128" s="89"/>
      <c r="G128" s="89"/>
      <c r="H128" s="89"/>
      <c r="I128" s="214"/>
      <c r="J128" s="89"/>
      <c r="K128" s="513"/>
    </row>
    <row r="129" spans="1:11" ht="15" hidden="1" x14ac:dyDescent="0.25">
      <c r="A129" s="116"/>
      <c r="B129" s="95" t="s">
        <v>246</v>
      </c>
      <c r="C129" s="89" t="s">
        <v>393</v>
      </c>
      <c r="D129" s="89" t="s">
        <v>498</v>
      </c>
      <c r="E129" s="89" t="s">
        <v>450</v>
      </c>
      <c r="F129" s="89" t="s">
        <v>451</v>
      </c>
      <c r="G129" s="89" t="s">
        <v>452</v>
      </c>
      <c r="H129" s="89" t="s">
        <v>393</v>
      </c>
      <c r="I129" s="214" t="s">
        <v>455</v>
      </c>
      <c r="J129" s="89">
        <f t="shared" si="3"/>
        <v>0</v>
      </c>
      <c r="K129" s="513"/>
    </row>
    <row r="130" spans="1:11" hidden="1" x14ac:dyDescent="0.2">
      <c r="A130" s="251"/>
      <c r="B130" s="100" t="s">
        <v>247</v>
      </c>
      <c r="C130" s="89" t="s">
        <v>393</v>
      </c>
      <c r="D130" s="89" t="s">
        <v>498</v>
      </c>
      <c r="E130" s="89" t="s">
        <v>450</v>
      </c>
      <c r="F130" s="89" t="s">
        <v>451</v>
      </c>
      <c r="G130" s="89" t="s">
        <v>452</v>
      </c>
      <c r="H130" s="89" t="s">
        <v>393</v>
      </c>
      <c r="I130" s="214" t="s">
        <v>455</v>
      </c>
      <c r="J130" s="89">
        <f t="shared" si="3"/>
        <v>0</v>
      </c>
      <c r="K130" s="514"/>
    </row>
    <row r="131" spans="1:11" hidden="1" x14ac:dyDescent="0.2">
      <c r="A131" s="116"/>
      <c r="B131" s="95" t="s">
        <v>248</v>
      </c>
      <c r="C131" s="89" t="s">
        <v>393</v>
      </c>
      <c r="D131" s="89" t="s">
        <v>498</v>
      </c>
      <c r="E131" s="89" t="s">
        <v>450</v>
      </c>
      <c r="F131" s="89" t="s">
        <v>451</v>
      </c>
      <c r="G131" s="89" t="s">
        <v>452</v>
      </c>
      <c r="H131" s="89" t="s">
        <v>393</v>
      </c>
      <c r="I131" s="214" t="s">
        <v>455</v>
      </c>
      <c r="J131" s="89">
        <f t="shared" si="3"/>
        <v>0</v>
      </c>
      <c r="K131" s="514"/>
    </row>
    <row r="132" spans="1:11" hidden="1" x14ac:dyDescent="0.2">
      <c r="A132" s="116"/>
      <c r="B132" s="95" t="s">
        <v>249</v>
      </c>
      <c r="C132" s="89" t="s">
        <v>393</v>
      </c>
      <c r="D132" s="89" t="s">
        <v>498</v>
      </c>
      <c r="E132" s="89" t="s">
        <v>450</v>
      </c>
      <c r="F132" s="89" t="s">
        <v>451</v>
      </c>
      <c r="G132" s="89" t="s">
        <v>452</v>
      </c>
      <c r="H132" s="89" t="s">
        <v>393</v>
      </c>
      <c r="I132" s="214" t="s">
        <v>455</v>
      </c>
      <c r="J132" s="89">
        <f t="shared" ref="J132:J147" si="4">SUM(C132:I132)</f>
        <v>0</v>
      </c>
      <c r="K132" s="514"/>
    </row>
    <row r="133" spans="1:11" hidden="1" x14ac:dyDescent="0.2">
      <c r="A133" s="116"/>
      <c r="B133" s="95" t="s">
        <v>250</v>
      </c>
      <c r="C133" s="89" t="s">
        <v>393</v>
      </c>
      <c r="D133" s="89" t="s">
        <v>498</v>
      </c>
      <c r="E133" s="89" t="s">
        <v>450</v>
      </c>
      <c r="F133" s="89" t="s">
        <v>451</v>
      </c>
      <c r="G133" s="89" t="s">
        <v>452</v>
      </c>
      <c r="H133" s="89" t="s">
        <v>393</v>
      </c>
      <c r="I133" s="214" t="s">
        <v>455</v>
      </c>
      <c r="J133" s="89">
        <f t="shared" si="4"/>
        <v>0</v>
      </c>
      <c r="K133" s="498"/>
    </row>
    <row r="134" spans="1:11" hidden="1" x14ac:dyDescent="0.2">
      <c r="A134" s="116"/>
      <c r="B134" s="95" t="s">
        <v>251</v>
      </c>
      <c r="C134" s="89" t="s">
        <v>393</v>
      </c>
      <c r="D134" s="89" t="s">
        <v>498</v>
      </c>
      <c r="E134" s="89" t="s">
        <v>450</v>
      </c>
      <c r="F134" s="89" t="s">
        <v>451</v>
      </c>
      <c r="G134" s="89" t="s">
        <v>452</v>
      </c>
      <c r="H134" s="89" t="s">
        <v>393</v>
      </c>
      <c r="I134" s="214" t="s">
        <v>455</v>
      </c>
      <c r="J134" s="89">
        <f t="shared" si="4"/>
        <v>0</v>
      </c>
      <c r="K134" s="498"/>
    </row>
    <row r="135" spans="1:11" hidden="1" x14ac:dyDescent="0.2">
      <c r="A135" s="116"/>
      <c r="B135" s="95" t="s">
        <v>252</v>
      </c>
      <c r="C135" s="89" t="s">
        <v>393</v>
      </c>
      <c r="D135" s="89" t="s">
        <v>498</v>
      </c>
      <c r="E135" s="89" t="s">
        <v>450</v>
      </c>
      <c r="F135" s="89" t="s">
        <v>451</v>
      </c>
      <c r="G135" s="89" t="s">
        <v>452</v>
      </c>
      <c r="H135" s="89" t="s">
        <v>393</v>
      </c>
      <c r="I135" s="214" t="s">
        <v>455</v>
      </c>
      <c r="J135" s="89">
        <f t="shared" si="4"/>
        <v>0</v>
      </c>
      <c r="K135" s="498"/>
    </row>
    <row r="136" spans="1:11" hidden="1" x14ac:dyDescent="0.2">
      <c r="A136" s="116"/>
      <c r="B136" s="95" t="s">
        <v>253</v>
      </c>
      <c r="C136" s="89" t="s">
        <v>393</v>
      </c>
      <c r="D136" s="89" t="s">
        <v>498</v>
      </c>
      <c r="E136" s="89" t="s">
        <v>450</v>
      </c>
      <c r="F136" s="89" t="s">
        <v>451</v>
      </c>
      <c r="G136" s="89" t="s">
        <v>452</v>
      </c>
      <c r="H136" s="89" t="s">
        <v>393</v>
      </c>
      <c r="I136" s="214" t="s">
        <v>455</v>
      </c>
      <c r="J136" s="89">
        <f t="shared" si="4"/>
        <v>0</v>
      </c>
      <c r="K136" s="498"/>
    </row>
    <row r="137" spans="1:11" hidden="1" x14ac:dyDescent="0.2">
      <c r="A137" s="116"/>
      <c r="B137" s="95" t="s">
        <v>254</v>
      </c>
      <c r="C137" s="89" t="s">
        <v>393</v>
      </c>
      <c r="D137" s="89" t="s">
        <v>498</v>
      </c>
      <c r="E137" s="89" t="s">
        <v>450</v>
      </c>
      <c r="F137" s="89" t="s">
        <v>451</v>
      </c>
      <c r="G137" s="89" t="s">
        <v>452</v>
      </c>
      <c r="H137" s="89" t="s">
        <v>393</v>
      </c>
      <c r="I137" s="214" t="s">
        <v>455</v>
      </c>
      <c r="J137" s="89">
        <f t="shared" si="4"/>
        <v>0</v>
      </c>
      <c r="K137" s="498"/>
    </row>
    <row r="138" spans="1:11" hidden="1" x14ac:dyDescent="0.2">
      <c r="A138" s="116"/>
      <c r="B138" s="95" t="s">
        <v>255</v>
      </c>
      <c r="C138" s="89" t="s">
        <v>393</v>
      </c>
      <c r="D138" s="89" t="s">
        <v>498</v>
      </c>
      <c r="E138" s="89" t="s">
        <v>450</v>
      </c>
      <c r="F138" s="89" t="s">
        <v>451</v>
      </c>
      <c r="G138" s="89" t="s">
        <v>452</v>
      </c>
      <c r="H138" s="89" t="s">
        <v>393</v>
      </c>
      <c r="I138" s="214" t="s">
        <v>455</v>
      </c>
      <c r="J138" s="89">
        <f t="shared" si="4"/>
        <v>0</v>
      </c>
      <c r="K138" s="498"/>
    </row>
    <row r="139" spans="1:11" hidden="1" x14ac:dyDescent="0.2">
      <c r="A139" s="116"/>
      <c r="B139" s="95" t="s">
        <v>256</v>
      </c>
      <c r="C139" s="89" t="s">
        <v>393</v>
      </c>
      <c r="D139" s="89" t="s">
        <v>498</v>
      </c>
      <c r="E139" s="89" t="s">
        <v>450</v>
      </c>
      <c r="F139" s="89" t="s">
        <v>451</v>
      </c>
      <c r="G139" s="89" t="s">
        <v>452</v>
      </c>
      <c r="H139" s="89" t="s">
        <v>393</v>
      </c>
      <c r="I139" s="214" t="s">
        <v>455</v>
      </c>
      <c r="J139" s="89">
        <f t="shared" si="4"/>
        <v>0</v>
      </c>
      <c r="K139" s="498"/>
    </row>
    <row r="140" spans="1:11" hidden="1" x14ac:dyDescent="0.2">
      <c r="A140" s="116"/>
      <c r="B140" s="95" t="s">
        <v>257</v>
      </c>
      <c r="C140" s="89" t="s">
        <v>393</v>
      </c>
      <c r="D140" s="89" t="s">
        <v>498</v>
      </c>
      <c r="E140" s="89" t="s">
        <v>450</v>
      </c>
      <c r="F140" s="89" t="s">
        <v>451</v>
      </c>
      <c r="G140" s="89" t="s">
        <v>452</v>
      </c>
      <c r="H140" s="89" t="s">
        <v>393</v>
      </c>
      <c r="I140" s="214" t="s">
        <v>455</v>
      </c>
      <c r="J140" s="89">
        <f t="shared" si="4"/>
        <v>0</v>
      </c>
      <c r="K140" s="498"/>
    </row>
    <row r="141" spans="1:11" x14ac:dyDescent="0.2">
      <c r="A141" s="116"/>
      <c r="B141" s="95" t="s">
        <v>258</v>
      </c>
      <c r="C141" s="89" t="s">
        <v>393</v>
      </c>
      <c r="D141" s="89" t="s">
        <v>498</v>
      </c>
      <c r="E141" s="89">
        <v>13882926</v>
      </c>
      <c r="F141" s="89" t="s">
        <v>451</v>
      </c>
      <c r="G141" s="89" t="s">
        <v>452</v>
      </c>
      <c r="H141" s="89" t="s">
        <v>393</v>
      </c>
      <c r="I141" s="214" t="s">
        <v>455</v>
      </c>
      <c r="J141" s="89">
        <f t="shared" si="4"/>
        <v>13882926</v>
      </c>
      <c r="K141" s="498"/>
    </row>
    <row r="142" spans="1:11" x14ac:dyDescent="0.2">
      <c r="A142" s="116"/>
      <c r="B142" s="95" t="s">
        <v>259</v>
      </c>
      <c r="C142" s="89" t="s">
        <v>393</v>
      </c>
      <c r="D142" s="89" t="s">
        <v>498</v>
      </c>
      <c r="E142" s="89">
        <v>457380</v>
      </c>
      <c r="F142" s="89" t="s">
        <v>451</v>
      </c>
      <c r="G142" s="89" t="s">
        <v>452</v>
      </c>
      <c r="H142" s="89">
        <v>221080</v>
      </c>
      <c r="I142" s="214" t="s">
        <v>455</v>
      </c>
      <c r="J142" s="89">
        <f t="shared" si="4"/>
        <v>678460</v>
      </c>
      <c r="K142" s="498"/>
    </row>
    <row r="143" spans="1:11" x14ac:dyDescent="0.2">
      <c r="A143" s="116"/>
      <c r="B143" s="95" t="s">
        <v>260</v>
      </c>
      <c r="C143" s="89" t="s">
        <v>393</v>
      </c>
      <c r="D143" s="89" t="s">
        <v>498</v>
      </c>
      <c r="E143" s="89">
        <v>1918189</v>
      </c>
      <c r="F143" s="89" t="s">
        <v>451</v>
      </c>
      <c r="G143" s="89" t="s">
        <v>452</v>
      </c>
      <c r="H143" s="89">
        <v>129522</v>
      </c>
      <c r="I143" s="214" t="s">
        <v>455</v>
      </c>
      <c r="J143" s="89">
        <f t="shared" si="4"/>
        <v>2047711</v>
      </c>
      <c r="K143" s="498"/>
    </row>
    <row r="144" spans="1:11" ht="15.75" thickBot="1" x14ac:dyDescent="0.3">
      <c r="A144" s="261" t="s">
        <v>456</v>
      </c>
      <c r="B144" s="262"/>
      <c r="C144" s="263">
        <f>SUM(C55:C143)</f>
        <v>15637419</v>
      </c>
      <c r="D144" s="263">
        <f t="shared" ref="D144:H144" si="5">SUM(D55:D143)</f>
        <v>7014757</v>
      </c>
      <c r="E144" s="263">
        <f t="shared" si="5"/>
        <v>56040863</v>
      </c>
      <c r="F144" s="263">
        <f t="shared" si="5"/>
        <v>0</v>
      </c>
      <c r="G144" s="263">
        <f t="shared" si="5"/>
        <v>0</v>
      </c>
      <c r="H144" s="263">
        <f t="shared" si="5"/>
        <v>4798010</v>
      </c>
      <c r="I144" s="264">
        <f>SUM(I55:I143)</f>
        <v>0</v>
      </c>
      <c r="J144" s="265">
        <f t="shared" si="4"/>
        <v>83491049</v>
      </c>
      <c r="K144" s="516"/>
    </row>
    <row r="145" spans="1:10" ht="18.75" customHeight="1" thickBot="1" x14ac:dyDescent="0.3">
      <c r="A145" s="245" t="s">
        <v>457</v>
      </c>
      <c r="B145" s="246"/>
      <c r="C145" s="247">
        <f>C54+C144</f>
        <v>69128983</v>
      </c>
      <c r="D145" s="247">
        <f t="shared" ref="D145:I145" si="6">D54+D144</f>
        <v>37346938</v>
      </c>
      <c r="E145" s="247">
        <f t="shared" si="6"/>
        <v>70704584</v>
      </c>
      <c r="F145" s="247">
        <f t="shared" si="6"/>
        <v>7786484</v>
      </c>
      <c r="G145" s="247">
        <f t="shared" si="6"/>
        <v>50000</v>
      </c>
      <c r="H145" s="247">
        <f t="shared" si="6"/>
        <v>16426862</v>
      </c>
      <c r="I145" s="248">
        <f t="shared" si="6"/>
        <v>0</v>
      </c>
      <c r="J145" s="236">
        <f t="shared" si="4"/>
        <v>201443851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0</v>
      </c>
      <c r="F146" s="269">
        <v>-7197758</v>
      </c>
      <c r="G146" s="269">
        <v>0</v>
      </c>
      <c r="H146" s="269">
        <v>0</v>
      </c>
      <c r="I146" s="270">
        <v>0</v>
      </c>
      <c r="J146" s="144">
        <f t="shared" si="4"/>
        <v>-7197758</v>
      </c>
    </row>
    <row r="147" spans="1:10" ht="21.75" customHeight="1" thickBot="1" x14ac:dyDescent="0.3">
      <c r="A147" s="271" t="s">
        <v>459</v>
      </c>
      <c r="B147" s="103"/>
      <c r="C147" s="272">
        <f>C145+C146</f>
        <v>69128983</v>
      </c>
      <c r="D147" s="272">
        <f t="shared" ref="D147:I147" si="7">D145+D146</f>
        <v>37346938</v>
      </c>
      <c r="E147" s="272">
        <f t="shared" si="7"/>
        <v>70704584</v>
      </c>
      <c r="F147" s="272">
        <f t="shared" si="7"/>
        <v>588726</v>
      </c>
      <c r="G147" s="272">
        <f t="shared" si="7"/>
        <v>50000</v>
      </c>
      <c r="H147" s="272">
        <f t="shared" si="7"/>
        <v>16426862</v>
      </c>
      <c r="I147" s="272">
        <f t="shared" si="7"/>
        <v>0</v>
      </c>
      <c r="J147" s="272">
        <f t="shared" si="4"/>
        <v>194246093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80"/>
      <c r="J148" s="191"/>
    </row>
    <row r="149" spans="1:10" x14ac:dyDescent="0.2">
      <c r="A149" s="275"/>
      <c r="B149" s="191" t="str">
        <f>'PCFP - All Revenue AA-1 R-5'!C81</f>
        <v>Elko County School District</v>
      </c>
      <c r="C149" s="274" t="s">
        <v>428</v>
      </c>
      <c r="D149" s="274"/>
      <c r="E149" s="276"/>
      <c r="F149" s="276"/>
      <c r="G149" s="276"/>
      <c r="H149" s="274"/>
      <c r="J149" s="278" t="str">
        <f>"Budget Fiscal Year "&amp;TEXT('[5]Form 1'!$C$136, "mm/dd/yy")</f>
        <v>Budget Fiscal Year 2019-2020</v>
      </c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H150" s="274"/>
      <c r="J150" s="280" t="s">
        <v>461</v>
      </c>
    </row>
    <row r="151" spans="1:10" x14ac:dyDescent="0.2">
      <c r="H151" s="280"/>
    </row>
  </sheetData>
  <pageMargins left="0.55000000000000004" right="0" top="0.5" bottom="0.25" header="0.5" footer="0"/>
  <pageSetup scale="62" fitToHeight="3" orientation="landscape" r:id="rId1"/>
  <headerFooter alignWithMargins="0">
    <oddFooter>&amp;C&amp;8FORM 4405LGF
Last Revised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3C50-E480-4BAF-B256-7209D94A78E8}">
  <dimension ref="A2:I17"/>
  <sheetViews>
    <sheetView showGridLines="0" zoomScaleNormal="100" workbookViewId="0">
      <selection activeCell="A5" sqref="A5:XFD7"/>
    </sheetView>
  </sheetViews>
  <sheetFormatPr defaultRowHeight="12.75" x14ac:dyDescent="0.2"/>
  <sheetData>
    <row r="2" spans="1:9" ht="18" x14ac:dyDescent="0.25">
      <c r="A2" s="6" t="s">
        <v>615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2B08-F907-4F1F-8437-FB5CCB2142DC}">
  <dimension ref="A2:I17"/>
  <sheetViews>
    <sheetView showGridLines="0" topLeftCell="A4" workbookViewId="0">
      <selection activeCell="I32" sqref="I32"/>
    </sheetView>
  </sheetViews>
  <sheetFormatPr defaultRowHeight="12.75" x14ac:dyDescent="0.2"/>
  <cols>
    <col min="1" max="1" width="5.140625" customWidth="1"/>
    <col min="2" max="2" width="5.28515625" customWidth="1"/>
  </cols>
  <sheetData>
    <row r="2" spans="1:9" ht="18" x14ac:dyDescent="0.25">
      <c r="A2" s="6" t="s">
        <v>110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8" spans="1:9" x14ac:dyDescent="0.2">
      <c r="B8" s="3"/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5CB7-DE23-423A-88C8-99C241811593}">
  <dimension ref="A1:G157"/>
  <sheetViews>
    <sheetView showGridLines="0" zoomScale="85" zoomScaleNormal="85" workbookViewId="0">
      <selection activeCell="G160" sqref="G160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6.140625" style="12" bestFit="1" customWidth="1"/>
    <col min="4" max="4" width="14.7109375" style="12" bestFit="1" customWidth="1"/>
    <col min="5" max="5" width="20.28515625" bestFit="1" customWidth="1"/>
    <col min="6" max="6" width="16.710937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10" t="s">
        <v>616</v>
      </c>
      <c r="D1" s="10" t="s">
        <v>119</v>
      </c>
    </row>
    <row r="3" spans="1:5" s="15" customFormat="1" ht="38.25" x14ac:dyDescent="0.2">
      <c r="A3" s="13"/>
      <c r="B3" s="13" t="s">
        <v>120</v>
      </c>
      <c r="C3" s="14" t="s">
        <v>545</v>
      </c>
      <c r="D3" s="14" t="s">
        <v>546</v>
      </c>
      <c r="E3" s="14" t="s">
        <v>123</v>
      </c>
    </row>
    <row r="4" spans="1:5" x14ac:dyDescent="0.2">
      <c r="B4" s="3"/>
    </row>
    <row r="5" spans="1:5" x14ac:dyDescent="0.2">
      <c r="B5" s="16" t="s">
        <v>124</v>
      </c>
      <c r="C5" s="12">
        <f>'19_20 District Budget Summ-6'!J28</f>
        <v>886141</v>
      </c>
      <c r="D5" s="12">
        <f>SUM('PCFP - All Revenue AA-1 R -6'!F33,'PCFP - All Revenue AA-1 R -6'!H33)</f>
        <v>21150</v>
      </c>
      <c r="E5" s="17">
        <f>D5-C5</f>
        <v>-864991</v>
      </c>
    </row>
    <row r="6" spans="1:5" x14ac:dyDescent="0.2">
      <c r="E6" s="17"/>
    </row>
    <row r="7" spans="1:5" x14ac:dyDescent="0.2">
      <c r="B7" s="16" t="s">
        <v>125</v>
      </c>
      <c r="C7" s="12">
        <f>'19_20 District Budget Summ-6'!J41</f>
        <v>1480765</v>
      </c>
      <c r="D7" s="12">
        <f>SUM('PCFP - All Revenue AA-1 R -6'!F49,'PCFP - All Revenue AA-1 R -6'!H49)</f>
        <v>1925714.1468797489</v>
      </c>
      <c r="E7" s="17">
        <f>D7-C7</f>
        <v>444949.14687974891</v>
      </c>
    </row>
    <row r="8" spans="1:5" x14ac:dyDescent="0.2">
      <c r="E8" s="17"/>
    </row>
    <row r="9" spans="1:5" x14ac:dyDescent="0.2">
      <c r="B9" s="16" t="s">
        <v>126</v>
      </c>
      <c r="C9" s="12">
        <f>'19_20 District Budget Summ-6'!J53</f>
        <v>109645</v>
      </c>
      <c r="D9" s="12">
        <f>SUM('PCFP - All Revenue AA-1 R -6'!F57,'PCFP - All Revenue AA-1 R -6'!H57)</f>
        <v>109645</v>
      </c>
      <c r="E9" s="17">
        <f>D9-C9</f>
        <v>0</v>
      </c>
    </row>
    <row r="10" spans="1:5" x14ac:dyDescent="0.2">
      <c r="E10" s="17"/>
    </row>
    <row r="11" spans="1:5" x14ac:dyDescent="0.2">
      <c r="B11" s="16" t="s">
        <v>127</v>
      </c>
      <c r="C11" s="12">
        <f>'19_20 District Budget Summ-6'!J61</f>
        <v>152342</v>
      </c>
      <c r="D11" s="12">
        <f>SUM('PCFP - All Revenue AA-1 R -6'!F67,'PCFP - All Revenue AA-1 R -6'!H67)</f>
        <v>152342</v>
      </c>
      <c r="E11" s="17">
        <f>D11-C11</f>
        <v>0</v>
      </c>
    </row>
    <row r="12" spans="1:5" x14ac:dyDescent="0.2">
      <c r="E12" s="17"/>
    </row>
    <row r="13" spans="1:5" s="2" customFormat="1" x14ac:dyDescent="0.2">
      <c r="B13" s="18" t="s">
        <v>128</v>
      </c>
      <c r="C13" s="19">
        <f t="shared" ref="C13" si="0">SUM(C5:C12)</f>
        <v>2628893</v>
      </c>
      <c r="D13" s="19">
        <f>SUM(D5:D12)</f>
        <v>2208851.1468797489</v>
      </c>
      <c r="E13" s="20">
        <f>D13-C13</f>
        <v>-420041.85312025109</v>
      </c>
    </row>
    <row r="15" spans="1:5" x14ac:dyDescent="0.2">
      <c r="B15" s="16" t="s">
        <v>129</v>
      </c>
      <c r="C15" s="12">
        <f>'19_20 District Budget Summ-6'!J70</f>
        <v>2863258</v>
      </c>
      <c r="D15" s="12">
        <f>SUM('PCFP - All Revenue AA-1 R -6'!F71,'PCFP - All Revenue AA-1 R -6'!H71)</f>
        <v>2863258</v>
      </c>
      <c r="E15" s="21">
        <f>D15-C15</f>
        <v>0</v>
      </c>
    </row>
    <row r="17" spans="1:7" x14ac:dyDescent="0.2">
      <c r="A17" s="22"/>
      <c r="B17" s="23" t="s">
        <v>306</v>
      </c>
      <c r="C17" s="24">
        <f t="shared" ref="C17" si="1">SUM(C13:C15)</f>
        <v>5492151</v>
      </c>
      <c r="D17" s="24">
        <f>SUM(D13:D15)</f>
        <v>5072109.1468797494</v>
      </c>
      <c r="E17" s="25">
        <f>D17-C17</f>
        <v>-420041.85312025063</v>
      </c>
      <c r="F17" s="26"/>
      <c r="G17" s="17"/>
    </row>
    <row r="18" spans="1:7" s="2" customFormat="1" x14ac:dyDescent="0.2">
      <c r="A18" s="27"/>
      <c r="B18" s="28" t="s">
        <v>131</v>
      </c>
      <c r="C18" s="285">
        <f>SUM(C21,C39,C68)</f>
        <v>5492151</v>
      </c>
      <c r="D18" s="285">
        <f>SUM(D21,D39,D68)</f>
        <v>5492151</v>
      </c>
      <c r="E18" s="29">
        <f>D18-C18</f>
        <v>0</v>
      </c>
    </row>
    <row r="19" spans="1:7" x14ac:dyDescent="0.2">
      <c r="A19" s="30"/>
      <c r="B19" s="286" t="s">
        <v>132</v>
      </c>
      <c r="C19" s="287">
        <f t="shared" ref="C19" si="2">C17-C18</f>
        <v>0</v>
      </c>
      <c r="D19" s="287">
        <f>D17-D18</f>
        <v>-420041.85312025063</v>
      </c>
      <c r="E19" s="29">
        <f>D19-C19</f>
        <v>-420041.85312025063</v>
      </c>
    </row>
    <row r="21" spans="1:7" x14ac:dyDescent="0.2">
      <c r="B21" s="2" t="s">
        <v>468</v>
      </c>
      <c r="C21" s="12">
        <f>SUM(C22:C37)</f>
        <v>1429580</v>
      </c>
      <c r="D21" s="12">
        <f>SUM(D22:D37)</f>
        <v>1284249</v>
      </c>
    </row>
    <row r="22" spans="1:7" hidden="1" x14ac:dyDescent="0.2">
      <c r="A22" s="2">
        <v>100</v>
      </c>
      <c r="B22" t="s">
        <v>134</v>
      </c>
      <c r="C22" s="12">
        <f>'19_20 District Budget Summ-6'!J77</f>
        <v>1243633</v>
      </c>
      <c r="D22" s="12">
        <f>'PCFP-All Expense AA-1 Modif-6'!J3</f>
        <v>1125792</v>
      </c>
      <c r="E22" s="288"/>
    </row>
    <row r="23" spans="1:7" hidden="1" x14ac:dyDescent="0.2">
      <c r="A23" s="2">
        <v>200</v>
      </c>
      <c r="B23" t="s">
        <v>135</v>
      </c>
      <c r="C23" s="12">
        <f>'19_20 District Budget Summ-6'!J78</f>
        <v>146911</v>
      </c>
      <c r="D23" s="12">
        <f>'PCFP-All Expense AA-1 Modif-6'!J4</f>
        <v>0</v>
      </c>
      <c r="E23" s="288"/>
    </row>
    <row r="24" spans="1:7" hidden="1" x14ac:dyDescent="0.2">
      <c r="A24" s="2" t="s">
        <v>10</v>
      </c>
      <c r="B24" t="s">
        <v>136</v>
      </c>
      <c r="C24" s="12">
        <f>'19_20 District Budget Summ-6'!J79</f>
        <v>0</v>
      </c>
      <c r="D24" s="12">
        <f>'PCFP-All Expense AA-1 Modif-6'!J5</f>
        <v>119421</v>
      </c>
      <c r="E24" s="288"/>
    </row>
    <row r="25" spans="1:7" hidden="1" x14ac:dyDescent="0.2">
      <c r="A25" s="2">
        <v>270</v>
      </c>
      <c r="B25" t="s">
        <v>137</v>
      </c>
      <c r="C25" s="12">
        <f>'19_20 District Budget Summ-6'!J80</f>
        <v>0</v>
      </c>
      <c r="D25" s="12">
        <f>'PCFP-All Expense AA-1 Modif-6'!J6</f>
        <v>0</v>
      </c>
      <c r="E25" s="288"/>
    </row>
    <row r="26" spans="1:7" hidden="1" x14ac:dyDescent="0.2">
      <c r="A26" s="2" t="s">
        <v>10</v>
      </c>
      <c r="B26" t="s">
        <v>138</v>
      </c>
      <c r="C26" s="12">
        <f>'19_20 District Budget Summ-6'!J81</f>
        <v>0</v>
      </c>
      <c r="D26" s="12">
        <f>'PCFP-All Expense AA-1 Modif-6'!J7</f>
        <v>0</v>
      </c>
      <c r="E26" s="288"/>
    </row>
    <row r="27" spans="1:7" hidden="1" x14ac:dyDescent="0.2">
      <c r="A27" s="2">
        <v>300</v>
      </c>
      <c r="B27" t="s">
        <v>139</v>
      </c>
      <c r="C27" s="12">
        <f>'19_20 District Budget Summ-6'!J82</f>
        <v>0</v>
      </c>
      <c r="D27" s="12">
        <f>'PCFP-All Expense AA-1 Modif-6'!J8</f>
        <v>0</v>
      </c>
      <c r="E27" s="288"/>
    </row>
    <row r="28" spans="1:7" hidden="1" x14ac:dyDescent="0.2">
      <c r="A28" s="2">
        <v>400</v>
      </c>
      <c r="B28" t="s">
        <v>140</v>
      </c>
      <c r="C28" s="12">
        <f>'19_20 District Budget Summ-6'!J83</f>
        <v>0</v>
      </c>
      <c r="D28" s="12">
        <f>'PCFP-All Expense AA-1 Modif-6'!J9</f>
        <v>0</v>
      </c>
      <c r="E28" s="288"/>
    </row>
    <row r="29" spans="1:7" hidden="1" x14ac:dyDescent="0.2">
      <c r="A29" s="2" t="s">
        <v>10</v>
      </c>
      <c r="B29" t="s">
        <v>141</v>
      </c>
      <c r="C29" s="12">
        <f>'19_20 District Budget Summ-6'!J84</f>
        <v>0</v>
      </c>
      <c r="D29" s="12">
        <f>'PCFP-All Expense AA-1 Modif-6'!J10</f>
        <v>0</v>
      </c>
      <c r="E29" s="288"/>
    </row>
    <row r="30" spans="1:7" hidden="1" x14ac:dyDescent="0.2">
      <c r="A30" s="2" t="s">
        <v>10</v>
      </c>
      <c r="B30" t="s">
        <v>142</v>
      </c>
      <c r="C30" s="12">
        <f>'19_20 District Budget Summ-6'!J85</f>
        <v>0</v>
      </c>
      <c r="D30" s="12">
        <f>'PCFP-All Expense AA-1 Modif-6'!J11</f>
        <v>0</v>
      </c>
      <c r="E30" s="288"/>
    </row>
    <row r="31" spans="1:7" hidden="1" x14ac:dyDescent="0.2">
      <c r="A31" s="2">
        <v>430</v>
      </c>
      <c r="B31" s="3" t="s">
        <v>548</v>
      </c>
      <c r="C31" s="12">
        <f>'19_20 District Budget Summ-6'!J86</f>
        <v>0</v>
      </c>
      <c r="D31" s="12">
        <f>'PCFP-All Expense AA-1 Modif-6'!J12</f>
        <v>0</v>
      </c>
      <c r="E31" s="288"/>
    </row>
    <row r="32" spans="1:7" hidden="1" x14ac:dyDescent="0.2">
      <c r="A32" s="2">
        <v>440</v>
      </c>
      <c r="B32" t="s">
        <v>143</v>
      </c>
      <c r="C32" s="12">
        <f>'19_20 District Budget Summ-6'!J87</f>
        <v>0</v>
      </c>
      <c r="D32" s="12">
        <f>'PCFP-All Expense AA-1 Modif-6'!J13</f>
        <v>0</v>
      </c>
      <c r="E32" s="288"/>
    </row>
    <row r="33" spans="1:5" hidden="1" x14ac:dyDescent="0.2">
      <c r="A33" s="2">
        <v>500</v>
      </c>
      <c r="B33" t="s">
        <v>144</v>
      </c>
      <c r="C33" s="12">
        <f>'19_20 District Budget Summ-6'!J88</f>
        <v>0</v>
      </c>
      <c r="D33" s="12">
        <f>'PCFP-All Expense AA-1 Modif-6'!J14</f>
        <v>0</v>
      </c>
      <c r="E33" s="288"/>
    </row>
    <row r="34" spans="1:5" hidden="1" x14ac:dyDescent="0.2">
      <c r="A34" s="2">
        <v>600</v>
      </c>
      <c r="B34" t="s">
        <v>145</v>
      </c>
      <c r="C34" s="12">
        <f>'19_20 District Budget Summ-6'!J89</f>
        <v>0</v>
      </c>
      <c r="D34" s="12">
        <f>'PCFP-All Expense AA-1 Modif-6'!J15</f>
        <v>0</v>
      </c>
      <c r="E34" s="288"/>
    </row>
    <row r="35" spans="1:5" hidden="1" x14ac:dyDescent="0.2">
      <c r="A35" s="2">
        <v>800</v>
      </c>
      <c r="B35" t="s">
        <v>146</v>
      </c>
      <c r="C35" s="12">
        <f>'19_20 District Budget Summ-6'!J90</f>
        <v>0</v>
      </c>
      <c r="D35" s="12">
        <f>'PCFP-All Expense AA-1 Modif-6'!J16</f>
        <v>39036</v>
      </c>
      <c r="E35" s="288"/>
    </row>
    <row r="36" spans="1:5" hidden="1" x14ac:dyDescent="0.2">
      <c r="A36" s="2">
        <v>910</v>
      </c>
      <c r="B36" t="s">
        <v>147</v>
      </c>
      <c r="C36" s="12">
        <f>'19_20 District Budget Summ-6'!J91</f>
        <v>35767</v>
      </c>
      <c r="D36" s="12">
        <f>'PCFP-All Expense AA-1 Modif-6'!J17</f>
        <v>0</v>
      </c>
      <c r="E36" s="288"/>
    </row>
    <row r="37" spans="1:5" hidden="1" x14ac:dyDescent="0.2">
      <c r="A37" s="2">
        <v>920</v>
      </c>
      <c r="B37" t="s">
        <v>148</v>
      </c>
      <c r="C37" s="12">
        <f>'19_20 District Budget Summ-6'!J92</f>
        <v>3269</v>
      </c>
      <c r="D37" s="12">
        <f>'PCFP-All Expense AA-1 Modif-6'!J18</f>
        <v>0</v>
      </c>
      <c r="E37" s="288"/>
    </row>
    <row r="38" spans="1:5" x14ac:dyDescent="0.2">
      <c r="E38" s="288"/>
    </row>
    <row r="39" spans="1:5" x14ac:dyDescent="0.2">
      <c r="A39" s="2" t="s">
        <v>149</v>
      </c>
      <c r="B39" s="2" t="s">
        <v>150</v>
      </c>
      <c r="C39" s="12">
        <f>SUM(C40:C66)</f>
        <v>4062571</v>
      </c>
      <c r="D39" s="12">
        <f>SUM(D40:D66)</f>
        <v>4080174</v>
      </c>
      <c r="E39" s="288"/>
    </row>
    <row r="40" spans="1:5" hidden="1" x14ac:dyDescent="0.2">
      <c r="A40" s="2">
        <v>2100</v>
      </c>
      <c r="B40" t="s">
        <v>151</v>
      </c>
      <c r="C40" s="12">
        <f>'19_20 District Budget Summ-6'!J95</f>
        <v>112652</v>
      </c>
      <c r="D40" s="12">
        <f>'PCFP-All Expense AA-1 Modif-6'!J21</f>
        <v>0</v>
      </c>
      <c r="E40" s="288"/>
    </row>
    <row r="41" spans="1:5" hidden="1" x14ac:dyDescent="0.2">
      <c r="A41" s="2">
        <v>2200</v>
      </c>
      <c r="B41" t="s">
        <v>152</v>
      </c>
      <c r="C41" s="12">
        <f>'19_20 District Budget Summ-6'!J96</f>
        <v>18000</v>
      </c>
      <c r="D41" s="12">
        <f>'PCFP-All Expense AA-1 Modif-6'!J22</f>
        <v>0</v>
      </c>
      <c r="E41" s="288"/>
    </row>
    <row r="42" spans="1:5" hidden="1" x14ac:dyDescent="0.2">
      <c r="A42" s="2">
        <v>2300</v>
      </c>
      <c r="B42" t="s">
        <v>153</v>
      </c>
      <c r="C42" s="12">
        <f>'19_20 District Budget Summ-6'!J97</f>
        <v>256651</v>
      </c>
      <c r="D42" s="12">
        <f>'PCFP-All Expense AA-1 Modif-6'!J23</f>
        <v>256651</v>
      </c>
      <c r="E42" s="288"/>
    </row>
    <row r="43" spans="1:5" hidden="1" x14ac:dyDescent="0.2">
      <c r="A43" s="2">
        <v>2400</v>
      </c>
      <c r="B43" t="s">
        <v>154</v>
      </c>
      <c r="C43" s="12">
        <f>'19_20 District Budget Summ-6'!J98</f>
        <v>0</v>
      </c>
      <c r="D43" s="12">
        <f>'PCFP-All Expense AA-1 Modif-6'!J24</f>
        <v>0</v>
      </c>
      <c r="E43" s="288"/>
    </row>
    <row r="44" spans="1:5" hidden="1" x14ac:dyDescent="0.2">
      <c r="A44" s="2">
        <v>2500</v>
      </c>
      <c r="B44" t="s">
        <v>155</v>
      </c>
      <c r="C44" s="12">
        <f>'19_20 District Budget Summ-6'!J99</f>
        <v>363232</v>
      </c>
      <c r="D44" s="12">
        <f>'PCFP-All Expense AA-1 Modif-6'!J25</f>
        <v>363232</v>
      </c>
      <c r="E44" s="288"/>
    </row>
    <row r="45" spans="1:5" hidden="1" x14ac:dyDescent="0.2">
      <c r="A45" s="2">
        <v>2600</v>
      </c>
      <c r="B45" t="s">
        <v>156</v>
      </c>
      <c r="C45" s="12">
        <f>'19_20 District Budget Summ-6'!J100</f>
        <v>421699</v>
      </c>
      <c r="D45" s="12">
        <f>'PCFP-All Expense AA-1 Modif-6'!J26</f>
        <v>411699</v>
      </c>
      <c r="E45" s="288"/>
    </row>
    <row r="46" spans="1:5" hidden="1" x14ac:dyDescent="0.2">
      <c r="A46" s="2">
        <v>2700</v>
      </c>
      <c r="B46" t="s">
        <v>157</v>
      </c>
      <c r="C46" s="12">
        <f>'19_20 District Budget Summ-6'!J101</f>
        <v>428384</v>
      </c>
      <c r="D46" s="12">
        <f>'PCFP-All Expense AA-1 Modif-6'!J27</f>
        <v>428384</v>
      </c>
      <c r="E46" s="288"/>
    </row>
    <row r="47" spans="1:5" hidden="1" x14ac:dyDescent="0.2">
      <c r="A47" s="2">
        <v>2900</v>
      </c>
      <c r="B47" t="s">
        <v>158</v>
      </c>
      <c r="C47" s="12">
        <f>'19_20 District Budget Summ-6'!J102</f>
        <v>0</v>
      </c>
      <c r="D47" s="12">
        <f>'PCFP-All Expense AA-1 Modif-6'!J28</f>
        <v>278446</v>
      </c>
      <c r="E47" s="288"/>
    </row>
    <row r="48" spans="1:5" hidden="1" x14ac:dyDescent="0.2">
      <c r="A48" s="2">
        <v>3000</v>
      </c>
      <c r="B48" t="s">
        <v>159</v>
      </c>
      <c r="C48" s="12">
        <f>'19_20 District Budget Summ-6'!J103</f>
        <v>0</v>
      </c>
      <c r="D48" s="12">
        <f>'PCFP-All Expense AA-1 Modif-6'!J29</f>
        <v>0</v>
      </c>
      <c r="E48" s="288"/>
    </row>
    <row r="49" spans="1:5" hidden="1" x14ac:dyDescent="0.2">
      <c r="A49" s="2">
        <v>3100</v>
      </c>
      <c r="B49" t="s">
        <v>160</v>
      </c>
      <c r="C49" s="12">
        <f>'19_20 District Budget Summ-6'!J104</f>
        <v>75384</v>
      </c>
      <c r="D49" s="12">
        <f>'PCFP-All Expense AA-1 Modif-6'!J30</f>
        <v>78124</v>
      </c>
      <c r="E49" s="288"/>
    </row>
    <row r="50" spans="1:5" hidden="1" x14ac:dyDescent="0.2">
      <c r="A50" s="2">
        <v>3200</v>
      </c>
      <c r="B50" t="s">
        <v>161</v>
      </c>
      <c r="C50" s="12">
        <f>'19_20 District Budget Summ-6'!J105</f>
        <v>0</v>
      </c>
      <c r="D50" s="12">
        <f>'PCFP-All Expense AA-1 Modif-6'!J31</f>
        <v>0</v>
      </c>
      <c r="E50" s="288"/>
    </row>
    <row r="51" spans="1:5" hidden="1" x14ac:dyDescent="0.2">
      <c r="A51" s="2">
        <v>3300</v>
      </c>
      <c r="B51" t="s">
        <v>162</v>
      </c>
      <c r="C51" s="12">
        <f>'19_20 District Budget Summ-6'!J106</f>
        <v>0</v>
      </c>
      <c r="D51" s="12">
        <f>'PCFP-All Expense AA-1 Modif-6'!J32</f>
        <v>0</v>
      </c>
      <c r="E51" s="288"/>
    </row>
    <row r="52" spans="1:5" hidden="1" x14ac:dyDescent="0.2">
      <c r="A52" s="2">
        <v>4000</v>
      </c>
      <c r="B52" t="s">
        <v>164</v>
      </c>
      <c r="C52" s="12">
        <f>'19_20 District Budget Summ-6'!J107</f>
        <v>0</v>
      </c>
      <c r="D52" s="12">
        <f>'PCFP-All Expense AA-1 Modif-6'!J33</f>
        <v>0</v>
      </c>
      <c r="E52" s="288"/>
    </row>
    <row r="53" spans="1:5" hidden="1" x14ac:dyDescent="0.2">
      <c r="A53" s="2">
        <v>4100</v>
      </c>
      <c r="B53" t="s">
        <v>163</v>
      </c>
      <c r="C53" s="12">
        <f>'19_20 District Budget Summ-6'!J108</f>
        <v>0</v>
      </c>
      <c r="D53" s="12">
        <f>'PCFP-All Expense AA-1 Modif-6'!J34</f>
        <v>0</v>
      </c>
      <c r="E53" s="288"/>
    </row>
    <row r="54" spans="1:5" hidden="1" x14ac:dyDescent="0.2">
      <c r="A54" s="2">
        <v>4200</v>
      </c>
      <c r="B54" t="s">
        <v>165</v>
      </c>
      <c r="C54" s="12">
        <f>'19_20 District Budget Summ-6'!J109</f>
        <v>0</v>
      </c>
      <c r="D54" s="12">
        <f>'PCFP-All Expense AA-1 Modif-6'!J35</f>
        <v>0</v>
      </c>
      <c r="E54" s="288"/>
    </row>
    <row r="55" spans="1:5" hidden="1" x14ac:dyDescent="0.2">
      <c r="A55" s="2">
        <v>4300</v>
      </c>
      <c r="B55" t="s">
        <v>166</v>
      </c>
      <c r="C55" s="12">
        <f>'19_20 District Budget Summ-6'!J110</f>
        <v>0</v>
      </c>
      <c r="D55" s="12">
        <f>'PCFP-All Expense AA-1 Modif-6'!J36</f>
        <v>0</v>
      </c>
      <c r="E55" s="288"/>
    </row>
    <row r="56" spans="1:5" hidden="1" x14ac:dyDescent="0.2">
      <c r="A56" s="2">
        <v>4400</v>
      </c>
      <c r="B56" t="s">
        <v>167</v>
      </c>
      <c r="C56" s="12">
        <f>'19_20 District Budget Summ-6'!J111</f>
        <v>0</v>
      </c>
      <c r="D56" s="12">
        <f>'PCFP-All Expense AA-1 Modif-6'!J37</f>
        <v>0</v>
      </c>
      <c r="E56" s="288"/>
    </row>
    <row r="57" spans="1:5" hidden="1" x14ac:dyDescent="0.2">
      <c r="A57" s="2">
        <v>4500</v>
      </c>
      <c r="B57" t="s">
        <v>168</v>
      </c>
      <c r="C57" s="12">
        <f>'19_20 District Budget Summ-6'!J112</f>
        <v>23000</v>
      </c>
      <c r="D57" s="12">
        <f>'PCFP-All Expense AA-1 Modif-6'!J38</f>
        <v>0</v>
      </c>
      <c r="E57" s="288"/>
    </row>
    <row r="58" spans="1:5" hidden="1" x14ac:dyDescent="0.2">
      <c r="A58" s="2">
        <v>4600</v>
      </c>
      <c r="B58" t="s">
        <v>169</v>
      </c>
      <c r="C58" s="12">
        <f>'19_20 District Budget Summ-6'!J113</f>
        <v>50474</v>
      </c>
      <c r="D58" s="12">
        <f>'PCFP-All Expense AA-1 Modif-6'!J39</f>
        <v>0</v>
      </c>
      <c r="E58" s="288"/>
    </row>
    <row r="59" spans="1:5" hidden="1" x14ac:dyDescent="0.2">
      <c r="A59" s="2">
        <v>4700</v>
      </c>
      <c r="B59" t="s">
        <v>170</v>
      </c>
      <c r="C59" s="12">
        <f>'19_20 District Budget Summ-6'!J114</f>
        <v>200000</v>
      </c>
      <c r="D59" s="12">
        <f>'PCFP-All Expense AA-1 Modif-6'!J40</f>
        <v>320097</v>
      </c>
      <c r="E59" s="288"/>
    </row>
    <row r="60" spans="1:5" hidden="1" x14ac:dyDescent="0.2">
      <c r="A60" s="2">
        <v>4900</v>
      </c>
      <c r="B60" t="s">
        <v>171</v>
      </c>
      <c r="C60" s="12">
        <f>'19_20 District Budget Summ-6'!J115</f>
        <v>35526</v>
      </c>
      <c r="D60" s="12">
        <f>'PCFP-All Expense AA-1 Modif-6'!J41</f>
        <v>0</v>
      </c>
      <c r="E60" s="288"/>
    </row>
    <row r="61" spans="1:5" hidden="1" x14ac:dyDescent="0.2">
      <c r="A61" s="2">
        <v>5000</v>
      </c>
      <c r="B61" t="s">
        <v>172</v>
      </c>
      <c r="C61" s="12">
        <f>'19_20 District Budget Summ-6'!J116</f>
        <v>0</v>
      </c>
      <c r="D61" s="12">
        <f>'PCFP-All Expense AA-1 Modif-6'!J42</f>
        <v>0</v>
      </c>
      <c r="E61" s="288"/>
    </row>
    <row r="62" spans="1:5" hidden="1" x14ac:dyDescent="0.2">
      <c r="A62" s="2">
        <v>5000</v>
      </c>
      <c r="B62" t="s">
        <v>173</v>
      </c>
      <c r="C62" s="12">
        <f>'19_20 District Budget Summ-6'!J117</f>
        <v>0</v>
      </c>
      <c r="D62" s="12">
        <f>'PCFP-All Expense AA-1 Modif-6'!J43</f>
        <v>0</v>
      </c>
      <c r="E62" s="288"/>
    </row>
    <row r="63" spans="1:5" hidden="1" x14ac:dyDescent="0.2">
      <c r="A63" s="2">
        <v>6100</v>
      </c>
      <c r="B63" t="s">
        <v>174</v>
      </c>
      <c r="C63" s="12">
        <f>'19_20 District Budget Summ-6'!J118</f>
        <v>0</v>
      </c>
      <c r="D63" s="12">
        <f>'PCFP-All Expense AA-1 Modif-6'!J44</f>
        <v>0</v>
      </c>
      <c r="E63" s="288"/>
    </row>
    <row r="64" spans="1:5" hidden="1" x14ac:dyDescent="0.2">
      <c r="A64" s="2">
        <v>6200</v>
      </c>
      <c r="B64" t="s">
        <v>175</v>
      </c>
      <c r="C64" s="12">
        <f>'19_20 District Budget Summ-6'!J119</f>
        <v>126717</v>
      </c>
      <c r="D64" s="12">
        <f>'PCFP-All Expense AA-1 Modif-6'!J45</f>
        <v>126717</v>
      </c>
      <c r="E64" s="288"/>
    </row>
    <row r="65" spans="1:5" hidden="1" x14ac:dyDescent="0.2">
      <c r="A65" s="2">
        <v>6300</v>
      </c>
      <c r="B65" t="s">
        <v>176</v>
      </c>
      <c r="C65" s="12">
        <f>'19_20 District Budget Summ-6'!J120</f>
        <v>0</v>
      </c>
      <c r="D65" s="12">
        <f>'PCFP-All Expense AA-1 Modif-6'!J46</f>
        <v>0</v>
      </c>
      <c r="E65" s="288"/>
    </row>
    <row r="66" spans="1:5" hidden="1" x14ac:dyDescent="0.2">
      <c r="A66" s="2">
        <v>8000</v>
      </c>
      <c r="B66" t="s">
        <v>177</v>
      </c>
      <c r="C66" s="12">
        <f>'19_20 District Budget Summ-6'!J121</f>
        <v>1950852</v>
      </c>
      <c r="D66" s="12">
        <f>'PCFP-All Expense AA-1 Modif-6'!J47</f>
        <v>1816824</v>
      </c>
      <c r="E66" s="288"/>
    </row>
    <row r="67" spans="1:5" x14ac:dyDescent="0.2">
      <c r="E67" s="288"/>
    </row>
    <row r="68" spans="1:5" s="2" customFormat="1" x14ac:dyDescent="0.2">
      <c r="A68" s="53"/>
      <c r="B68" s="2" t="s">
        <v>308</v>
      </c>
      <c r="C68" s="19">
        <f>SUM(C69:C156)</f>
        <v>0</v>
      </c>
      <c r="D68" s="19">
        <f>SUM(D69:D156)</f>
        <v>127728</v>
      </c>
      <c r="E68" s="288"/>
    </row>
    <row r="69" spans="1:5" hidden="1" x14ac:dyDescent="0.2">
      <c r="B69" t="s">
        <v>179</v>
      </c>
      <c r="C69" s="12">
        <f>'19_20 District Budget Summ-6'!J124</f>
        <v>0</v>
      </c>
      <c r="D69" s="12">
        <f>'PCFP-All Expense AA-1 Modif-6'!J56</f>
        <v>0</v>
      </c>
      <c r="E69" s="288"/>
    </row>
    <row r="70" spans="1:5" hidden="1" x14ac:dyDescent="0.2">
      <c r="B70" t="s">
        <v>145</v>
      </c>
      <c r="C70" s="12">
        <f>'19_20 District Budget Summ-6'!J125</f>
        <v>0</v>
      </c>
      <c r="D70" s="12">
        <f>'PCFP-All Expense AA-1 Modif-6'!J57</f>
        <v>0</v>
      </c>
      <c r="E70" s="288"/>
    </row>
    <row r="71" spans="1:5" hidden="1" x14ac:dyDescent="0.2">
      <c r="B71" t="s">
        <v>180</v>
      </c>
      <c r="C71" s="12">
        <f>'19_20 District Budget Summ-6'!J126</f>
        <v>0</v>
      </c>
      <c r="D71" s="12">
        <f>'PCFP-All Expense AA-1 Modif-6'!J58</f>
        <v>0</v>
      </c>
      <c r="E71" s="288"/>
    </row>
    <row r="72" spans="1:5" hidden="1" x14ac:dyDescent="0.2">
      <c r="B72" t="s">
        <v>181</v>
      </c>
      <c r="C72" s="12">
        <f>'19_20 District Budget Summ-6'!J127</f>
        <v>0</v>
      </c>
      <c r="D72" s="12">
        <f>'PCFP-All Expense AA-1 Modif-6'!J59</f>
        <v>0</v>
      </c>
      <c r="E72" s="288"/>
    </row>
    <row r="73" spans="1:5" hidden="1" x14ac:dyDescent="0.2">
      <c r="B73" t="s">
        <v>182</v>
      </c>
      <c r="C73" s="12">
        <f>'19_20 District Budget Summ-6'!J128</f>
        <v>0</v>
      </c>
      <c r="D73" s="12">
        <f>'PCFP-All Expense AA-1 Modif-6'!J60</f>
        <v>0</v>
      </c>
      <c r="E73" s="288"/>
    </row>
    <row r="74" spans="1:5" hidden="1" x14ac:dyDescent="0.2">
      <c r="B74" t="s">
        <v>183</v>
      </c>
      <c r="C74" s="12">
        <f>'19_20 District Budget Summ-6'!J129</f>
        <v>0</v>
      </c>
      <c r="D74" s="12">
        <f>'PCFP-All Expense AA-1 Modif-6'!J61</f>
        <v>0</v>
      </c>
      <c r="E74" s="288"/>
    </row>
    <row r="75" spans="1:5" hidden="1" x14ac:dyDescent="0.2">
      <c r="B75" t="s">
        <v>184</v>
      </c>
      <c r="C75" s="12">
        <f>'19_20 District Budget Summ-6'!J130</f>
        <v>0</v>
      </c>
      <c r="D75" s="12">
        <f>'PCFP-All Expense AA-1 Modif-6'!J62</f>
        <v>127728</v>
      </c>
      <c r="E75" s="288"/>
    </row>
    <row r="76" spans="1:5" hidden="1" x14ac:dyDescent="0.2">
      <c r="B76" t="s">
        <v>185</v>
      </c>
      <c r="C76" s="12">
        <f>'19_20 District Budget Summ-6'!J131</f>
        <v>0</v>
      </c>
      <c r="D76" s="12">
        <f>'PCFP-All Expense AA-1 Modif-6'!J63</f>
        <v>0</v>
      </c>
      <c r="E76" s="288"/>
    </row>
    <row r="77" spans="1:5" hidden="1" x14ac:dyDescent="0.2">
      <c r="B77" t="s">
        <v>186</v>
      </c>
      <c r="C77" s="12">
        <f>'19_20 District Budget Summ-6'!J132</f>
        <v>0</v>
      </c>
      <c r="D77" s="12">
        <f>'PCFP-All Expense AA-1 Modif-6'!J64</f>
        <v>0</v>
      </c>
      <c r="E77" s="288"/>
    </row>
    <row r="78" spans="1:5" hidden="1" x14ac:dyDescent="0.2">
      <c r="B78" t="s">
        <v>187</v>
      </c>
      <c r="C78" s="12">
        <f>'19_20 District Budget Summ-6'!J133</f>
        <v>0</v>
      </c>
      <c r="D78" s="12">
        <f>'PCFP-All Expense AA-1 Modif-6'!J65</f>
        <v>0</v>
      </c>
      <c r="E78" s="288"/>
    </row>
    <row r="79" spans="1:5" hidden="1" x14ac:dyDescent="0.2">
      <c r="B79" t="s">
        <v>188</v>
      </c>
      <c r="C79" s="12">
        <f>'19_20 District Budget Summ-6'!J134</f>
        <v>0</v>
      </c>
      <c r="D79" s="12">
        <f>'PCFP-All Expense AA-1 Modif-6'!J66</f>
        <v>0</v>
      </c>
      <c r="E79" s="288"/>
    </row>
    <row r="80" spans="1:5" hidden="1" x14ac:dyDescent="0.2">
      <c r="B80" t="s">
        <v>189</v>
      </c>
      <c r="C80" s="12">
        <f>'19_20 District Budget Summ-6'!J135</f>
        <v>0</v>
      </c>
      <c r="D80" s="12">
        <f>'PCFP-All Expense AA-1 Modif-6'!J67</f>
        <v>0</v>
      </c>
      <c r="E80" s="288"/>
    </row>
    <row r="81" spans="2:5" hidden="1" x14ac:dyDescent="0.2">
      <c r="B81" t="s">
        <v>190</v>
      </c>
      <c r="C81" s="12">
        <f>'19_20 District Budget Summ-6'!J136</f>
        <v>0</v>
      </c>
      <c r="D81" s="12">
        <f>'PCFP-All Expense AA-1 Modif-6'!J68</f>
        <v>0</v>
      </c>
      <c r="E81" s="288"/>
    </row>
    <row r="82" spans="2:5" hidden="1" x14ac:dyDescent="0.2">
      <c r="B82" t="s">
        <v>191</v>
      </c>
      <c r="C82" s="12">
        <f>'19_20 District Budget Summ-6'!J137</f>
        <v>0</v>
      </c>
      <c r="D82" s="12">
        <f>'PCFP-All Expense AA-1 Modif-6'!J69</f>
        <v>0</v>
      </c>
      <c r="E82" s="288"/>
    </row>
    <row r="83" spans="2:5" hidden="1" x14ac:dyDescent="0.2">
      <c r="B83" t="s">
        <v>192</v>
      </c>
      <c r="C83" s="12">
        <f>'19_20 District Budget Summ-6'!J138</f>
        <v>0</v>
      </c>
      <c r="D83" s="12">
        <f>'PCFP-All Expense AA-1 Modif-6'!J70</f>
        <v>0</v>
      </c>
      <c r="E83" s="288"/>
    </row>
    <row r="84" spans="2:5" hidden="1" x14ac:dyDescent="0.2">
      <c r="B84" t="s">
        <v>193</v>
      </c>
      <c r="C84" s="12">
        <f>'19_20 District Budget Summ-6'!J139</f>
        <v>0</v>
      </c>
      <c r="D84" s="12">
        <f>'PCFP-All Expense AA-1 Modif-6'!J71</f>
        <v>0</v>
      </c>
      <c r="E84" s="288"/>
    </row>
    <row r="85" spans="2:5" hidden="1" x14ac:dyDescent="0.2">
      <c r="B85" t="s">
        <v>194</v>
      </c>
      <c r="C85" s="12">
        <f>'19_20 District Budget Summ-6'!J140</f>
        <v>0</v>
      </c>
      <c r="D85" s="12">
        <f>'PCFP-All Expense AA-1 Modif-6'!J72</f>
        <v>0</v>
      </c>
      <c r="E85" s="288"/>
    </row>
    <row r="86" spans="2:5" hidden="1" x14ac:dyDescent="0.2">
      <c r="B86" t="s">
        <v>195</v>
      </c>
      <c r="C86" s="12">
        <f>'19_20 District Budget Summ-6'!J141</f>
        <v>0</v>
      </c>
      <c r="D86" s="12">
        <f>'PCFP-All Expense AA-1 Modif-6'!J73</f>
        <v>0</v>
      </c>
      <c r="E86" s="288"/>
    </row>
    <row r="87" spans="2:5" hidden="1" x14ac:dyDescent="0.2">
      <c r="B87" t="s">
        <v>196</v>
      </c>
      <c r="C87" s="12">
        <f>'19_20 District Budget Summ-6'!J142</f>
        <v>0</v>
      </c>
      <c r="D87" s="12">
        <f>'PCFP-All Expense AA-1 Modif-6'!J74</f>
        <v>0</v>
      </c>
      <c r="E87" s="288"/>
    </row>
    <row r="88" spans="2:5" hidden="1" x14ac:dyDescent="0.2">
      <c r="B88" t="s">
        <v>197</v>
      </c>
      <c r="C88" s="12">
        <f>'19_20 District Budget Summ-6'!J143</f>
        <v>0</v>
      </c>
      <c r="D88" s="12">
        <f>'PCFP-All Expense AA-1 Modif-6'!J75</f>
        <v>0</v>
      </c>
      <c r="E88" s="288"/>
    </row>
    <row r="89" spans="2:5" hidden="1" x14ac:dyDescent="0.2">
      <c r="B89" t="s">
        <v>198</v>
      </c>
      <c r="C89" s="12">
        <f>'19_20 District Budget Summ-6'!J144</f>
        <v>0</v>
      </c>
      <c r="D89" s="12">
        <f>'PCFP-All Expense AA-1 Modif-6'!J76</f>
        <v>0</v>
      </c>
      <c r="E89" s="288"/>
    </row>
    <row r="90" spans="2:5" hidden="1" x14ac:dyDescent="0.2">
      <c r="B90" t="s">
        <v>199</v>
      </c>
      <c r="C90" s="12">
        <f>'19_20 District Budget Summ-6'!J145</f>
        <v>0</v>
      </c>
      <c r="D90" s="12">
        <f>'PCFP-All Expense AA-1 Modif-6'!J77</f>
        <v>0</v>
      </c>
      <c r="E90" s="288"/>
    </row>
    <row r="91" spans="2:5" hidden="1" x14ac:dyDescent="0.2">
      <c r="B91" t="s">
        <v>200</v>
      </c>
      <c r="C91" s="12">
        <f>'19_20 District Budget Summ-6'!J146</f>
        <v>0</v>
      </c>
      <c r="D91" s="12">
        <f>'PCFP-All Expense AA-1 Modif-6'!J78</f>
        <v>0</v>
      </c>
      <c r="E91" s="288"/>
    </row>
    <row r="92" spans="2:5" hidden="1" x14ac:dyDescent="0.2">
      <c r="B92" t="s">
        <v>201</v>
      </c>
      <c r="C92" s="12">
        <f>'19_20 District Budget Summ-6'!J147</f>
        <v>0</v>
      </c>
      <c r="D92" s="12">
        <f>'PCFP-All Expense AA-1 Modif-6'!J79</f>
        <v>0</v>
      </c>
      <c r="E92" s="288"/>
    </row>
    <row r="93" spans="2:5" hidden="1" x14ac:dyDescent="0.2">
      <c r="B93" t="s">
        <v>202</v>
      </c>
      <c r="C93" s="12">
        <f>'19_20 District Budget Summ-6'!J148</f>
        <v>0</v>
      </c>
      <c r="D93" s="12">
        <f>'PCFP-All Expense AA-1 Modif-6'!J80</f>
        <v>0</v>
      </c>
      <c r="E93" s="288"/>
    </row>
    <row r="94" spans="2:5" hidden="1" x14ac:dyDescent="0.2">
      <c r="B94" t="s">
        <v>203</v>
      </c>
      <c r="C94" s="12">
        <f>'19_20 District Budget Summ-6'!J149</f>
        <v>0</v>
      </c>
      <c r="D94" s="12">
        <f>'PCFP-All Expense AA-1 Modif-6'!J81</f>
        <v>0</v>
      </c>
      <c r="E94" s="288"/>
    </row>
    <row r="95" spans="2:5" hidden="1" x14ac:dyDescent="0.2">
      <c r="B95" t="s">
        <v>204</v>
      </c>
      <c r="C95" s="12">
        <f>'19_20 District Budget Summ-6'!J150</f>
        <v>0</v>
      </c>
      <c r="D95" s="12">
        <f>'PCFP-All Expense AA-1 Modif-6'!J82</f>
        <v>0</v>
      </c>
      <c r="E95" s="288"/>
    </row>
    <row r="96" spans="2:5" hidden="1" x14ac:dyDescent="0.2">
      <c r="B96" t="s">
        <v>205</v>
      </c>
      <c r="C96" s="12">
        <f>'19_20 District Budget Summ-6'!J151</f>
        <v>0</v>
      </c>
      <c r="D96" s="12">
        <f>'PCFP-All Expense AA-1 Modif-6'!J83</f>
        <v>0</v>
      </c>
      <c r="E96" s="288"/>
    </row>
    <row r="97" spans="2:5" hidden="1" x14ac:dyDescent="0.2">
      <c r="B97" t="s">
        <v>206</v>
      </c>
      <c r="C97" s="12">
        <f>'19_20 District Budget Summ-6'!J152</f>
        <v>0</v>
      </c>
      <c r="D97" s="12">
        <f>'PCFP-All Expense AA-1 Modif-6'!J84</f>
        <v>0</v>
      </c>
      <c r="E97" s="288"/>
    </row>
    <row r="98" spans="2:5" hidden="1" x14ac:dyDescent="0.2">
      <c r="B98" t="s">
        <v>207</v>
      </c>
      <c r="C98" s="12">
        <f>'19_20 District Budget Summ-6'!J153</f>
        <v>0</v>
      </c>
      <c r="D98" s="12">
        <f>'PCFP-All Expense AA-1 Modif-6'!J85</f>
        <v>0</v>
      </c>
      <c r="E98" s="288"/>
    </row>
    <row r="99" spans="2:5" hidden="1" x14ac:dyDescent="0.2">
      <c r="B99" t="s">
        <v>208</v>
      </c>
      <c r="C99" s="12">
        <f>'19_20 District Budget Summ-6'!J154</f>
        <v>0</v>
      </c>
      <c r="D99" s="12">
        <f>'PCFP-All Expense AA-1 Modif-6'!J86</f>
        <v>0</v>
      </c>
      <c r="E99" s="288"/>
    </row>
    <row r="100" spans="2:5" hidden="1" x14ac:dyDescent="0.2">
      <c r="B100" t="s">
        <v>209</v>
      </c>
      <c r="C100" s="12">
        <f>'19_20 District Budget Summ-6'!J155</f>
        <v>0</v>
      </c>
      <c r="D100" s="12">
        <f>'PCFP-All Expense AA-1 Modif-6'!J87</f>
        <v>0</v>
      </c>
      <c r="E100" s="288"/>
    </row>
    <row r="101" spans="2:5" hidden="1" x14ac:dyDescent="0.2">
      <c r="B101" t="s">
        <v>210</v>
      </c>
      <c r="C101" s="12">
        <f>'19_20 District Budget Summ-6'!J156</f>
        <v>0</v>
      </c>
      <c r="D101" s="12">
        <f>'PCFP-All Expense AA-1 Modif-6'!J88</f>
        <v>0</v>
      </c>
      <c r="E101" s="288"/>
    </row>
    <row r="102" spans="2:5" hidden="1" x14ac:dyDescent="0.2">
      <c r="B102" t="s">
        <v>211</v>
      </c>
      <c r="C102" s="12">
        <f>'19_20 District Budget Summ-6'!J157</f>
        <v>0</v>
      </c>
      <c r="D102" s="12">
        <f>'PCFP-All Expense AA-1 Modif-6'!J89</f>
        <v>0</v>
      </c>
      <c r="E102" s="288"/>
    </row>
    <row r="103" spans="2:5" hidden="1" x14ac:dyDescent="0.2">
      <c r="B103" t="s">
        <v>212</v>
      </c>
      <c r="C103" s="12">
        <f>'19_20 District Budget Summ-6'!J158</f>
        <v>0</v>
      </c>
      <c r="D103" s="12">
        <f>'PCFP-All Expense AA-1 Modif-6'!J90</f>
        <v>0</v>
      </c>
      <c r="E103" s="288"/>
    </row>
    <row r="104" spans="2:5" hidden="1" x14ac:dyDescent="0.2">
      <c r="B104" t="s">
        <v>213</v>
      </c>
      <c r="C104" s="12">
        <f>'19_20 District Budget Summ-6'!J159</f>
        <v>0</v>
      </c>
      <c r="D104" s="12">
        <f>'PCFP-All Expense AA-1 Modif-6'!J91</f>
        <v>0</v>
      </c>
      <c r="E104" s="288"/>
    </row>
    <row r="105" spans="2:5" hidden="1" x14ac:dyDescent="0.2">
      <c r="B105" t="s">
        <v>214</v>
      </c>
      <c r="C105" s="12">
        <f>'19_20 District Budget Summ-6'!J160</f>
        <v>0</v>
      </c>
      <c r="D105" s="12">
        <f>'PCFP-All Expense AA-1 Modif-6'!J92</f>
        <v>0</v>
      </c>
      <c r="E105" s="288"/>
    </row>
    <row r="106" spans="2:5" hidden="1" x14ac:dyDescent="0.2">
      <c r="B106" t="s">
        <v>215</v>
      </c>
      <c r="C106" s="12">
        <f>'19_20 District Budget Summ-6'!J161</f>
        <v>0</v>
      </c>
      <c r="D106" s="12">
        <f>'PCFP-All Expense AA-1 Modif-6'!J93</f>
        <v>0</v>
      </c>
      <c r="E106" s="288"/>
    </row>
    <row r="107" spans="2:5" hidden="1" x14ac:dyDescent="0.2">
      <c r="B107" t="s">
        <v>216</v>
      </c>
      <c r="C107" s="12">
        <f>'19_20 District Budget Summ-6'!J162</f>
        <v>0</v>
      </c>
      <c r="D107" s="12">
        <f>'PCFP-All Expense AA-1 Modif-6'!J94</f>
        <v>0</v>
      </c>
      <c r="E107" s="288"/>
    </row>
    <row r="108" spans="2:5" hidden="1" x14ac:dyDescent="0.2">
      <c r="B108" t="s">
        <v>217</v>
      </c>
      <c r="C108" s="12">
        <f>'19_20 District Budget Summ-6'!J163</f>
        <v>0</v>
      </c>
      <c r="D108" s="12">
        <f>'PCFP-All Expense AA-1 Modif-6'!J95</f>
        <v>0</v>
      </c>
      <c r="E108" s="288"/>
    </row>
    <row r="109" spans="2:5" hidden="1" x14ac:dyDescent="0.2">
      <c r="B109" t="s">
        <v>218</v>
      </c>
      <c r="C109" s="12">
        <f>'19_20 District Budget Summ-6'!J164</f>
        <v>0</v>
      </c>
      <c r="D109" s="12">
        <f>'PCFP-All Expense AA-1 Modif-6'!J96</f>
        <v>0</v>
      </c>
      <c r="E109" s="288"/>
    </row>
    <row r="110" spans="2:5" hidden="1" x14ac:dyDescent="0.2">
      <c r="B110" t="s">
        <v>219</v>
      </c>
      <c r="C110" s="12">
        <f>'19_20 District Budget Summ-6'!J165</f>
        <v>0</v>
      </c>
      <c r="D110" s="12">
        <f>'PCFP-All Expense AA-1 Modif-6'!J97</f>
        <v>0</v>
      </c>
      <c r="E110" s="288"/>
    </row>
    <row r="111" spans="2:5" hidden="1" x14ac:dyDescent="0.2">
      <c r="B111" t="s">
        <v>220</v>
      </c>
      <c r="C111" s="12">
        <f>'19_20 District Budget Summ-6'!J166</f>
        <v>0</v>
      </c>
      <c r="D111" s="12">
        <f>'PCFP-All Expense AA-1 Modif-6'!J98</f>
        <v>0</v>
      </c>
      <c r="E111" s="288"/>
    </row>
    <row r="112" spans="2:5" hidden="1" x14ac:dyDescent="0.2">
      <c r="B112" t="s">
        <v>221</v>
      </c>
      <c r="C112" s="12">
        <f>'19_20 District Budget Summ-6'!J167</f>
        <v>0</v>
      </c>
      <c r="D112" s="12">
        <f>'PCFP-All Expense AA-1 Modif-6'!J99</f>
        <v>0</v>
      </c>
      <c r="E112" s="288"/>
    </row>
    <row r="113" spans="1:5" hidden="1" x14ac:dyDescent="0.2">
      <c r="A113" s="2" t="s">
        <v>10</v>
      </c>
      <c r="B113" t="s">
        <v>142</v>
      </c>
      <c r="C113" s="12">
        <f>'19_20 District Budget Summ-6'!J168</f>
        <v>0</v>
      </c>
      <c r="D113" s="12">
        <f>'PCFP-All Expense AA-1 Modif-6'!J100</f>
        <v>0</v>
      </c>
      <c r="E113" s="288"/>
    </row>
    <row r="114" spans="1:5" hidden="1" x14ac:dyDescent="0.2">
      <c r="A114" s="2" t="s">
        <v>10</v>
      </c>
      <c r="B114" t="s">
        <v>141</v>
      </c>
      <c r="C114" s="12">
        <f>'19_20 District Budget Summ-6'!J169</f>
        <v>0</v>
      </c>
      <c r="D114" s="12">
        <f>'PCFP-All Expense AA-1 Modif-6'!J101</f>
        <v>0</v>
      </c>
      <c r="E114" s="288"/>
    </row>
    <row r="115" spans="1:5" hidden="1" x14ac:dyDescent="0.2">
      <c r="A115" s="2" t="s">
        <v>33</v>
      </c>
      <c r="B115" t="s">
        <v>222</v>
      </c>
      <c r="C115" s="12">
        <f>'19_20 District Budget Summ-6'!J170</f>
        <v>0</v>
      </c>
      <c r="D115" s="12">
        <f>'PCFP-All Expense AA-1 Modif-6'!J102</f>
        <v>0</v>
      </c>
      <c r="E115" s="288"/>
    </row>
    <row r="116" spans="1:5" hidden="1" x14ac:dyDescent="0.2">
      <c r="A116" s="2" t="s">
        <v>10</v>
      </c>
      <c r="B116" t="s">
        <v>138</v>
      </c>
      <c r="C116" s="12">
        <f>'19_20 District Budget Summ-6'!J171</f>
        <v>0</v>
      </c>
      <c r="D116" s="12">
        <f>'PCFP-All Expense AA-1 Modif-6'!J103</f>
        <v>0</v>
      </c>
      <c r="E116" s="288"/>
    </row>
    <row r="117" spans="1:5" hidden="1" x14ac:dyDescent="0.2">
      <c r="A117" s="2" t="s">
        <v>10</v>
      </c>
      <c r="B117" t="s">
        <v>136</v>
      </c>
      <c r="C117" s="12">
        <f>'19_20 District Budget Summ-6'!J172</f>
        <v>0</v>
      </c>
      <c r="D117" s="12">
        <f>'PCFP-All Expense AA-1 Modif-6'!J104</f>
        <v>0</v>
      </c>
      <c r="E117" s="288"/>
    </row>
    <row r="118" spans="1:5" hidden="1" x14ac:dyDescent="0.2">
      <c r="B118" t="s">
        <v>223</v>
      </c>
      <c r="C118" s="12">
        <f>'19_20 District Budget Summ-6'!J173</f>
        <v>0</v>
      </c>
      <c r="D118" s="12">
        <f>'PCFP-All Expense AA-1 Modif-6'!J105</f>
        <v>0</v>
      </c>
      <c r="E118" s="288"/>
    </row>
    <row r="119" spans="1:5" hidden="1" x14ac:dyDescent="0.2">
      <c r="B119" t="s">
        <v>224</v>
      </c>
      <c r="C119" s="12">
        <f>'19_20 District Budget Summ-6'!J174</f>
        <v>0</v>
      </c>
      <c r="D119" s="12">
        <f>'PCFP-All Expense AA-1 Modif-6'!J106</f>
        <v>0</v>
      </c>
      <c r="E119" s="288"/>
    </row>
    <row r="120" spans="1:5" hidden="1" x14ac:dyDescent="0.2">
      <c r="B120" t="s">
        <v>225</v>
      </c>
      <c r="C120" s="12">
        <f>'19_20 District Budget Summ-6'!J175</f>
        <v>0</v>
      </c>
      <c r="D120" s="12">
        <f>'PCFP-All Expense AA-1 Modif-6'!J107</f>
        <v>0</v>
      </c>
      <c r="E120" s="288"/>
    </row>
    <row r="121" spans="1:5" hidden="1" x14ac:dyDescent="0.2">
      <c r="B121" t="s">
        <v>226</v>
      </c>
      <c r="C121" s="12">
        <f>'19_20 District Budget Summ-6'!J176</f>
        <v>0</v>
      </c>
      <c r="D121" s="12">
        <f>'PCFP-All Expense AA-1 Modif-6'!J108</f>
        <v>0</v>
      </c>
      <c r="E121" s="288"/>
    </row>
    <row r="122" spans="1:5" hidden="1" x14ac:dyDescent="0.2">
      <c r="B122" t="s">
        <v>227</v>
      </c>
      <c r="C122" s="12">
        <f>'19_20 District Budget Summ-6'!J177</f>
        <v>0</v>
      </c>
      <c r="D122" s="12">
        <f>'PCFP-All Expense AA-1 Modif-6'!J109</f>
        <v>0</v>
      </c>
      <c r="E122" s="288"/>
    </row>
    <row r="123" spans="1:5" hidden="1" x14ac:dyDescent="0.2">
      <c r="B123" t="s">
        <v>228</v>
      </c>
      <c r="C123" s="12">
        <f>'19_20 District Budget Summ-6'!J178</f>
        <v>0</v>
      </c>
      <c r="D123" s="12">
        <f>'PCFP-All Expense AA-1 Modif-6'!J110</f>
        <v>0</v>
      </c>
      <c r="E123" s="288"/>
    </row>
    <row r="124" spans="1:5" hidden="1" x14ac:dyDescent="0.2">
      <c r="B124" t="s">
        <v>229</v>
      </c>
      <c r="C124" s="12">
        <f>'19_20 District Budget Summ-6'!J179</f>
        <v>0</v>
      </c>
      <c r="D124" s="12">
        <f>'PCFP-All Expense AA-1 Modif-6'!J111</f>
        <v>0</v>
      </c>
      <c r="E124" s="288"/>
    </row>
    <row r="125" spans="1:5" hidden="1" x14ac:dyDescent="0.2">
      <c r="B125" t="s">
        <v>230</v>
      </c>
      <c r="C125" s="12">
        <f>'19_20 District Budget Summ-6'!J180</f>
        <v>0</v>
      </c>
      <c r="D125" s="12">
        <f>'PCFP-All Expense AA-1 Modif-6'!J112</f>
        <v>0</v>
      </c>
      <c r="E125" s="288"/>
    </row>
    <row r="126" spans="1:5" hidden="1" x14ac:dyDescent="0.2">
      <c r="B126" t="s">
        <v>231</v>
      </c>
      <c r="C126" s="12">
        <f>'19_20 District Budget Summ-6'!J181</f>
        <v>0</v>
      </c>
      <c r="D126" s="12">
        <f>'PCFP-All Expense AA-1 Modif-6'!J113</f>
        <v>0</v>
      </c>
      <c r="E126" s="288"/>
    </row>
    <row r="127" spans="1:5" hidden="1" x14ac:dyDescent="0.2">
      <c r="B127" t="s">
        <v>232</v>
      </c>
      <c r="C127" s="12">
        <f>'19_20 District Budget Summ-6'!J182</f>
        <v>0</v>
      </c>
      <c r="D127" s="12">
        <f>'PCFP-All Expense AA-1 Modif-6'!J114</f>
        <v>0</v>
      </c>
      <c r="E127" s="288"/>
    </row>
    <row r="128" spans="1:5" hidden="1" x14ac:dyDescent="0.2">
      <c r="B128" t="s">
        <v>233</v>
      </c>
      <c r="C128" s="12">
        <f>'19_20 District Budget Summ-6'!J183</f>
        <v>0</v>
      </c>
      <c r="D128" s="12">
        <f>'PCFP-All Expense AA-1 Modif-6'!J115</f>
        <v>0</v>
      </c>
      <c r="E128" s="288"/>
    </row>
    <row r="129" spans="2:5" hidden="1" x14ac:dyDescent="0.2">
      <c r="B129" t="s">
        <v>234</v>
      </c>
      <c r="C129" s="12">
        <f>'19_20 District Budget Summ-6'!J184</f>
        <v>0</v>
      </c>
      <c r="D129" s="12">
        <f>'PCFP-All Expense AA-1 Modif-6'!J116</f>
        <v>0</v>
      </c>
      <c r="E129" s="288"/>
    </row>
    <row r="130" spans="2:5" hidden="1" x14ac:dyDescent="0.2">
      <c r="B130" t="s">
        <v>9</v>
      </c>
      <c r="C130" s="12">
        <f>'19_20 District Budget Summ-6'!J185</f>
        <v>0</v>
      </c>
      <c r="D130" s="12">
        <f>'PCFP-All Expense AA-1 Modif-6'!J117</f>
        <v>0</v>
      </c>
      <c r="E130" s="288"/>
    </row>
    <row r="131" spans="2:5" hidden="1" x14ac:dyDescent="0.2">
      <c r="B131" s="3" t="s">
        <v>235</v>
      </c>
      <c r="C131" s="12">
        <f>'19_20 District Budget Summ-6'!J187</f>
        <v>0</v>
      </c>
      <c r="D131" s="12">
        <f>'PCFP-All Expense AA-1 Modif-6'!J118</f>
        <v>0</v>
      </c>
      <c r="E131" s="288"/>
    </row>
    <row r="132" spans="2:5" hidden="1" x14ac:dyDescent="0.2">
      <c r="B132" t="s">
        <v>236</v>
      </c>
      <c r="C132" s="12">
        <f>'19_20 District Budget Summ-6'!J188</f>
        <v>0</v>
      </c>
      <c r="D132" s="12">
        <f>'PCFP-All Expense AA-1 Modif-6'!J119</f>
        <v>0</v>
      </c>
      <c r="E132" s="288"/>
    </row>
    <row r="133" spans="2:5" hidden="1" x14ac:dyDescent="0.2">
      <c r="B133" t="s">
        <v>237</v>
      </c>
      <c r="C133" s="12">
        <f>'19_20 District Budget Summ-6'!J189</f>
        <v>0</v>
      </c>
      <c r="D133" s="12">
        <f>'PCFP-All Expense AA-1 Modif-6'!J120</f>
        <v>0</v>
      </c>
      <c r="E133" s="288"/>
    </row>
    <row r="134" spans="2:5" hidden="1" x14ac:dyDescent="0.2">
      <c r="B134" t="s">
        <v>238</v>
      </c>
      <c r="C134" s="12">
        <f>'19_20 District Budget Summ-6'!J190</f>
        <v>0</v>
      </c>
      <c r="D134" s="12">
        <f>'PCFP-All Expense AA-1 Modif-6'!J121</f>
        <v>0</v>
      </c>
      <c r="E134" s="288"/>
    </row>
    <row r="135" spans="2:5" hidden="1" x14ac:dyDescent="0.2">
      <c r="B135" t="s">
        <v>239</v>
      </c>
      <c r="C135" s="12">
        <f>'19_20 District Budget Summ-6'!J191</f>
        <v>0</v>
      </c>
      <c r="D135" s="12">
        <f>'PCFP-All Expense AA-1 Modif-6'!J122</f>
        <v>0</v>
      </c>
      <c r="E135" s="288"/>
    </row>
    <row r="136" spans="2:5" hidden="1" x14ac:dyDescent="0.2">
      <c r="B136" t="s">
        <v>240</v>
      </c>
      <c r="C136" s="12">
        <f>'19_20 District Budget Summ-6'!J192</f>
        <v>0</v>
      </c>
      <c r="D136" s="12">
        <f>'PCFP-All Expense AA-1 Modif-6'!J123</f>
        <v>0</v>
      </c>
      <c r="E136" s="288"/>
    </row>
    <row r="137" spans="2:5" hidden="1" x14ac:dyDescent="0.2">
      <c r="B137" t="s">
        <v>241</v>
      </c>
      <c r="C137" s="12">
        <f>'19_20 District Budget Summ-6'!J193</f>
        <v>0</v>
      </c>
      <c r="D137" s="12">
        <f>'PCFP-All Expense AA-1 Modif-6'!J124</f>
        <v>0</v>
      </c>
      <c r="E137" s="288"/>
    </row>
    <row r="138" spans="2:5" hidden="1" x14ac:dyDescent="0.2">
      <c r="B138" t="s">
        <v>242</v>
      </c>
      <c r="C138" s="12">
        <f>'19_20 District Budget Summ-6'!J194</f>
        <v>0</v>
      </c>
      <c r="D138" s="12">
        <f>'PCFP-All Expense AA-1 Modif-6'!J125</f>
        <v>0</v>
      </c>
      <c r="E138" s="288"/>
    </row>
    <row r="139" spans="2:5" hidden="1" x14ac:dyDescent="0.2">
      <c r="B139" t="s">
        <v>243</v>
      </c>
      <c r="C139" s="12">
        <f>'19_20 District Budget Summ-6'!J195</f>
        <v>0</v>
      </c>
      <c r="D139" s="12">
        <f>'PCFP-All Expense AA-1 Modif-6'!J126</f>
        <v>0</v>
      </c>
      <c r="E139" s="288"/>
    </row>
    <row r="140" spans="2:5" hidden="1" x14ac:dyDescent="0.2">
      <c r="B140" t="s">
        <v>244</v>
      </c>
      <c r="C140" s="12">
        <f>'19_20 District Budget Summ-6'!J196</f>
        <v>0</v>
      </c>
      <c r="D140" s="12">
        <f>'PCFP-All Expense AA-1 Modif-6'!J127</f>
        <v>0</v>
      </c>
      <c r="E140" s="288"/>
    </row>
    <row r="141" spans="2:5" hidden="1" x14ac:dyDescent="0.2">
      <c r="B141" s="2" t="s">
        <v>245</v>
      </c>
      <c r="E141" s="288"/>
    </row>
    <row r="142" spans="2:5" hidden="1" x14ac:dyDescent="0.2">
      <c r="B142" t="s">
        <v>246</v>
      </c>
      <c r="C142" s="12">
        <f>'19_20 District Budget Summ-6'!J198</f>
        <v>0</v>
      </c>
      <c r="D142" s="12">
        <f>'PCFP-All Expense AA-1 Modif-6'!J129</f>
        <v>0</v>
      </c>
      <c r="E142" s="12">
        <f t="shared" ref="E142:E156" si="3">SUM(C142:D142)</f>
        <v>0</v>
      </c>
    </row>
    <row r="143" spans="2:5" hidden="1" x14ac:dyDescent="0.2">
      <c r="B143" t="s">
        <v>247</v>
      </c>
      <c r="C143" s="12">
        <f>'19_20 District Budget Summ-6'!J199</f>
        <v>0</v>
      </c>
      <c r="D143" s="12">
        <f>'PCFP-All Expense AA-1 Modif-6'!J130</f>
        <v>0</v>
      </c>
      <c r="E143" s="12">
        <f t="shared" si="3"/>
        <v>0</v>
      </c>
    </row>
    <row r="144" spans="2:5" hidden="1" x14ac:dyDescent="0.2">
      <c r="B144" t="s">
        <v>248</v>
      </c>
      <c r="C144" s="12">
        <f>'19_20 District Budget Summ-6'!J200</f>
        <v>0</v>
      </c>
      <c r="D144" s="12">
        <f>'PCFP-All Expense AA-1 Modif-6'!J131</f>
        <v>0</v>
      </c>
      <c r="E144" s="12">
        <f t="shared" si="3"/>
        <v>0</v>
      </c>
    </row>
    <row r="145" spans="2:5" hidden="1" x14ac:dyDescent="0.2">
      <c r="B145" t="s">
        <v>249</v>
      </c>
      <c r="C145" s="12">
        <f>'19_20 District Budget Summ-6'!J201</f>
        <v>0</v>
      </c>
      <c r="D145" s="12">
        <f>'PCFP-All Expense AA-1 Modif-6'!J132</f>
        <v>0</v>
      </c>
      <c r="E145" s="12">
        <f t="shared" si="3"/>
        <v>0</v>
      </c>
    </row>
    <row r="146" spans="2:5" hidden="1" x14ac:dyDescent="0.2">
      <c r="B146" t="s">
        <v>250</v>
      </c>
      <c r="C146" s="12">
        <f>'19_20 District Budget Summ-6'!J202</f>
        <v>0</v>
      </c>
      <c r="D146" s="12">
        <f>'PCFP-All Expense AA-1 Modif-6'!J133</f>
        <v>0</v>
      </c>
      <c r="E146" s="12">
        <f t="shared" si="3"/>
        <v>0</v>
      </c>
    </row>
    <row r="147" spans="2:5" hidden="1" x14ac:dyDescent="0.2">
      <c r="B147" t="s">
        <v>251</v>
      </c>
      <c r="C147" s="12">
        <f>'19_20 District Budget Summ-6'!J203</f>
        <v>0</v>
      </c>
      <c r="D147" s="12">
        <f>'PCFP-All Expense AA-1 Modif-6'!J134</f>
        <v>0</v>
      </c>
      <c r="E147" s="12">
        <f t="shared" si="3"/>
        <v>0</v>
      </c>
    </row>
    <row r="148" spans="2:5" hidden="1" x14ac:dyDescent="0.2">
      <c r="B148" t="s">
        <v>252</v>
      </c>
      <c r="C148" s="12">
        <f>'19_20 District Budget Summ-6'!J204</f>
        <v>0</v>
      </c>
      <c r="D148" s="12">
        <f>'PCFP-All Expense AA-1 Modif-6'!J135</f>
        <v>0</v>
      </c>
      <c r="E148" s="12">
        <f t="shared" si="3"/>
        <v>0</v>
      </c>
    </row>
    <row r="149" spans="2:5" hidden="1" x14ac:dyDescent="0.2">
      <c r="B149" t="s">
        <v>253</v>
      </c>
      <c r="C149" s="12">
        <f>'19_20 District Budget Summ-6'!J205</f>
        <v>0</v>
      </c>
      <c r="D149" s="12">
        <f>'PCFP-All Expense AA-1 Modif-6'!J136</f>
        <v>0</v>
      </c>
      <c r="E149" s="12">
        <f t="shared" si="3"/>
        <v>0</v>
      </c>
    </row>
    <row r="150" spans="2:5" hidden="1" x14ac:dyDescent="0.2">
      <c r="B150" t="s">
        <v>254</v>
      </c>
      <c r="C150" s="12">
        <f>'19_20 District Budget Summ-6'!J206</f>
        <v>0</v>
      </c>
      <c r="D150" s="12">
        <f>'PCFP-All Expense AA-1 Modif-6'!J137</f>
        <v>0</v>
      </c>
      <c r="E150" s="12">
        <f t="shared" si="3"/>
        <v>0</v>
      </c>
    </row>
    <row r="151" spans="2:5" hidden="1" x14ac:dyDescent="0.2">
      <c r="B151" t="s">
        <v>255</v>
      </c>
      <c r="C151" s="12">
        <f>'19_20 District Budget Summ-6'!J207</f>
        <v>0</v>
      </c>
      <c r="D151" s="12">
        <f>'PCFP-All Expense AA-1 Modif-6'!J138</f>
        <v>0</v>
      </c>
      <c r="E151" s="12">
        <f t="shared" si="3"/>
        <v>0</v>
      </c>
    </row>
    <row r="152" spans="2:5" hidden="1" x14ac:dyDescent="0.2">
      <c r="B152" t="s">
        <v>256</v>
      </c>
      <c r="C152" s="12">
        <f>'19_20 District Budget Summ-6'!J208</f>
        <v>0</v>
      </c>
      <c r="D152" s="12">
        <f>'PCFP-All Expense AA-1 Modif-6'!J139</f>
        <v>0</v>
      </c>
      <c r="E152" s="12">
        <f t="shared" si="3"/>
        <v>0</v>
      </c>
    </row>
    <row r="153" spans="2:5" hidden="1" x14ac:dyDescent="0.2">
      <c r="B153" t="s">
        <v>257</v>
      </c>
      <c r="C153" s="12">
        <f>'19_20 District Budget Summ-6'!J209</f>
        <v>0</v>
      </c>
      <c r="D153" s="12">
        <f>'PCFP-All Expense AA-1 Modif-6'!J140</f>
        <v>0</v>
      </c>
      <c r="E153" s="12">
        <f t="shared" si="3"/>
        <v>0</v>
      </c>
    </row>
    <row r="154" spans="2:5" hidden="1" x14ac:dyDescent="0.2">
      <c r="B154" t="s">
        <v>258</v>
      </c>
      <c r="C154" s="12">
        <f>'19_20 District Budget Summ-6'!J210</f>
        <v>0</v>
      </c>
      <c r="D154" s="12">
        <f>'PCFP-All Expense AA-1 Modif-6'!J141</f>
        <v>0</v>
      </c>
      <c r="E154" s="12">
        <f t="shared" si="3"/>
        <v>0</v>
      </c>
    </row>
    <row r="155" spans="2:5" hidden="1" x14ac:dyDescent="0.2">
      <c r="B155" t="s">
        <v>259</v>
      </c>
      <c r="C155" s="12">
        <f>'19_20 District Budget Summ-6'!J211</f>
        <v>0</v>
      </c>
      <c r="D155" s="12">
        <f>'PCFP-All Expense AA-1 Modif-6'!J142</f>
        <v>0</v>
      </c>
      <c r="E155" s="12">
        <f t="shared" si="3"/>
        <v>0</v>
      </c>
    </row>
    <row r="156" spans="2:5" hidden="1" x14ac:dyDescent="0.2">
      <c r="B156" t="s">
        <v>260</v>
      </c>
      <c r="C156" s="12">
        <f>'19_20 District Budget Summ-6'!J212</f>
        <v>0</v>
      </c>
      <c r="D156" s="12">
        <f>'PCFP-All Expense AA-1 Modif-6'!J143</f>
        <v>0</v>
      </c>
      <c r="E156" s="12">
        <f t="shared" si="3"/>
        <v>0</v>
      </c>
    </row>
    <row r="157" spans="2:5" x14ac:dyDescent="0.2">
      <c r="E157" s="12"/>
    </row>
  </sheetData>
  <pageMargins left="0.7" right="0.7" top="0.75" bottom="0.75" header="0.3" footer="0.3"/>
  <pageSetup scale="7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8D685-574A-4BEC-AB16-F43C95912EE3}">
  <dimension ref="A1:M213"/>
  <sheetViews>
    <sheetView showGridLines="0" zoomScale="85" zoomScaleNormal="85" workbookViewId="0">
      <pane xSplit="2" ySplit="3" topLeftCell="C4" activePane="bottomRight" state="frozen"/>
      <selection activeCell="A5" sqref="A5:XFD7"/>
      <selection pane="topRight" activeCell="A5" sqref="A5:XFD7"/>
      <selection pane="bottomLeft" activeCell="A5" sqref="A5:XFD7"/>
      <selection pane="bottomRight" activeCell="C77" sqref="C77:J121"/>
    </sheetView>
  </sheetViews>
  <sheetFormatPr defaultRowHeight="12.75" x14ac:dyDescent="0.2"/>
  <cols>
    <col min="1" max="1" width="5.28515625" style="2" bestFit="1" customWidth="1"/>
    <col min="2" max="2" width="41.5703125" bestFit="1" customWidth="1"/>
    <col min="3" max="3" width="16.140625" style="12" bestFit="1" customWidth="1"/>
    <col min="4" max="4" width="14.28515625" style="12" bestFit="1" customWidth="1"/>
    <col min="5" max="5" width="15.140625" style="12" bestFit="1" customWidth="1"/>
    <col min="6" max="6" width="19.85546875" style="12" bestFit="1" customWidth="1"/>
    <col min="7" max="7" width="18" style="12" bestFit="1" customWidth="1"/>
    <col min="8" max="8" width="14.7109375" style="12" bestFit="1" customWidth="1"/>
    <col min="9" max="9" width="18.140625" style="12" bestFit="1" customWidth="1"/>
    <col min="10" max="10" width="35.28515625" bestFit="1" customWidth="1"/>
    <col min="11" max="11" width="13.140625" bestFit="1" customWidth="1"/>
    <col min="12" max="12" width="12.85546875" hidden="1" customWidth="1"/>
    <col min="13" max="13" width="35" style="520" hidden="1" customWidth="1"/>
  </cols>
  <sheetData>
    <row r="1" spans="1:13" s="8" customFormat="1" ht="18" x14ac:dyDescent="0.25">
      <c r="A1" s="6"/>
      <c r="B1" s="9" t="s">
        <v>261</v>
      </c>
      <c r="C1" s="10" t="s">
        <v>616</v>
      </c>
      <c r="D1" s="10" t="s">
        <v>119</v>
      </c>
      <c r="E1" s="332" t="s">
        <v>262</v>
      </c>
      <c r="F1" s="333">
        <v>5492151</v>
      </c>
      <c r="H1" s="10"/>
      <c r="I1" s="10"/>
      <c r="M1" s="517"/>
    </row>
    <row r="3" spans="1:13" s="15" customFormat="1" ht="25.5" x14ac:dyDescent="0.2">
      <c r="A3" s="13"/>
      <c r="B3" s="13" t="s">
        <v>120</v>
      </c>
      <c r="C3" s="14" t="s">
        <v>263</v>
      </c>
      <c r="D3" s="14" t="s">
        <v>237</v>
      </c>
      <c r="E3" s="14" t="s">
        <v>204</v>
      </c>
      <c r="F3" s="14" t="s">
        <v>184</v>
      </c>
      <c r="G3" s="14" t="s">
        <v>9</v>
      </c>
      <c r="H3" s="14" t="s">
        <v>206</v>
      </c>
      <c r="I3" s="14" t="s">
        <v>185</v>
      </c>
      <c r="J3" s="14" t="s">
        <v>273</v>
      </c>
      <c r="M3" s="518"/>
    </row>
    <row r="4" spans="1:13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L4" s="290">
        <f>SUM(L5:L11)</f>
        <v>851391</v>
      </c>
      <c r="M4" s="518"/>
    </row>
    <row r="5" spans="1:13" s="291" customFormat="1" x14ac:dyDescent="0.2">
      <c r="B5" s="292" t="s">
        <v>274</v>
      </c>
      <c r="C5" s="915">
        <v>504028</v>
      </c>
      <c r="D5" s="915">
        <v>0</v>
      </c>
      <c r="E5" s="915">
        <v>0</v>
      </c>
      <c r="F5" s="915">
        <v>0</v>
      </c>
      <c r="G5" s="915">
        <v>0</v>
      </c>
      <c r="H5" s="915">
        <v>0</v>
      </c>
      <c r="I5" s="915">
        <v>0</v>
      </c>
      <c r="J5" s="915" t="str">
        <f t="shared" ref="J5:J26" si="0">B5</f>
        <v>Property Taxes</v>
      </c>
      <c r="K5" s="936">
        <f t="shared" ref="K5:K26" si="1">SUM(C5:I5)</f>
        <v>504028</v>
      </c>
      <c r="L5" s="293">
        <f>K5</f>
        <v>504028</v>
      </c>
      <c r="M5" s="292" t="s">
        <v>275</v>
      </c>
    </row>
    <row r="6" spans="1:13" s="291" customFormat="1" hidden="1" x14ac:dyDescent="0.2">
      <c r="B6" s="292" t="s">
        <v>474</v>
      </c>
      <c r="C6" s="915">
        <v>0</v>
      </c>
      <c r="D6" s="915">
        <v>0</v>
      </c>
      <c r="E6" s="915">
        <v>0</v>
      </c>
      <c r="F6" s="915">
        <v>0</v>
      </c>
      <c r="G6" s="915">
        <v>0</v>
      </c>
      <c r="H6" s="915">
        <v>0</v>
      </c>
      <c r="I6" s="915">
        <v>0</v>
      </c>
      <c r="J6" s="915" t="str">
        <f t="shared" si="0"/>
        <v>Net Proceeds from Mines</v>
      </c>
      <c r="K6" s="936">
        <f t="shared" si="1"/>
        <v>0</v>
      </c>
      <c r="L6" s="293">
        <f>K6</f>
        <v>0</v>
      </c>
      <c r="M6" s="292" t="s">
        <v>473</v>
      </c>
    </row>
    <row r="7" spans="1:13" s="37" customFormat="1" x14ac:dyDescent="0.2">
      <c r="B7" s="37" t="s">
        <v>276</v>
      </c>
      <c r="C7" s="915">
        <v>107778</v>
      </c>
      <c r="D7" s="915">
        <v>0</v>
      </c>
      <c r="E7" s="915">
        <v>0</v>
      </c>
      <c r="F7" s="915">
        <v>0</v>
      </c>
      <c r="G7" s="915">
        <v>0</v>
      </c>
      <c r="H7" s="915">
        <v>0</v>
      </c>
      <c r="I7" s="915">
        <v>0</v>
      </c>
      <c r="J7" s="915" t="str">
        <f t="shared" si="0"/>
        <v>School Support Taxes</v>
      </c>
      <c r="K7" s="936">
        <f t="shared" si="1"/>
        <v>107778</v>
      </c>
      <c r="L7" s="293">
        <f t="shared" ref="L7:L11" si="2">K7</f>
        <v>107778</v>
      </c>
      <c r="M7" s="519" t="s">
        <v>275</v>
      </c>
    </row>
    <row r="8" spans="1:13" s="37" customFormat="1" hidden="1" x14ac:dyDescent="0.2">
      <c r="B8" s="37" t="s">
        <v>551</v>
      </c>
      <c r="C8" s="915">
        <v>0</v>
      </c>
      <c r="D8" s="915">
        <v>0</v>
      </c>
      <c r="E8" s="915">
        <v>0</v>
      </c>
      <c r="F8" s="915">
        <v>0</v>
      </c>
      <c r="G8" s="915">
        <v>0</v>
      </c>
      <c r="H8" s="915">
        <v>0</v>
      </c>
      <c r="I8" s="915">
        <v>0</v>
      </c>
      <c r="J8" s="915" t="str">
        <f t="shared" si="0"/>
        <v>Real Estate Transfer Tax</v>
      </c>
      <c r="K8" s="936">
        <f t="shared" si="1"/>
        <v>0</v>
      </c>
      <c r="L8" s="293"/>
      <c r="M8" s="519"/>
    </row>
    <row r="9" spans="1:13" s="37" customFormat="1" hidden="1" x14ac:dyDescent="0.2">
      <c r="B9" s="37" t="s">
        <v>550</v>
      </c>
      <c r="C9" s="915">
        <v>0</v>
      </c>
      <c r="D9" s="915">
        <v>0</v>
      </c>
      <c r="E9" s="915">
        <v>0</v>
      </c>
      <c r="F9" s="915">
        <v>0</v>
      </c>
      <c r="G9" s="915">
        <v>0</v>
      </c>
      <c r="H9" s="915">
        <v>0</v>
      </c>
      <c r="I9" s="915">
        <v>0</v>
      </c>
      <c r="J9" s="915" t="str">
        <f t="shared" si="0"/>
        <v>Room Tax</v>
      </c>
      <c r="K9" s="936">
        <f t="shared" si="1"/>
        <v>0</v>
      </c>
      <c r="L9" s="293">
        <f t="shared" si="2"/>
        <v>0</v>
      </c>
      <c r="M9" s="519" t="s">
        <v>275</v>
      </c>
    </row>
    <row r="10" spans="1:13" s="37" customFormat="1" hidden="1" x14ac:dyDescent="0.2">
      <c r="B10" s="37" t="s">
        <v>277</v>
      </c>
      <c r="C10" s="915">
        <v>0</v>
      </c>
      <c r="D10" s="915">
        <v>0</v>
      </c>
      <c r="E10" s="915">
        <v>0</v>
      </c>
      <c r="F10" s="915">
        <v>0</v>
      </c>
      <c r="G10" s="915">
        <v>0</v>
      </c>
      <c r="H10" s="915">
        <v>0</v>
      </c>
      <c r="I10" s="915">
        <v>0</v>
      </c>
      <c r="J10" s="915" t="str">
        <f t="shared" si="0"/>
        <v>Franchise Taxes</v>
      </c>
      <c r="K10" s="936">
        <f t="shared" si="1"/>
        <v>0</v>
      </c>
      <c r="L10" s="293">
        <f t="shared" si="2"/>
        <v>0</v>
      </c>
      <c r="M10" s="519" t="s">
        <v>275</v>
      </c>
    </row>
    <row r="11" spans="1:13" s="37" customFormat="1" x14ac:dyDescent="0.2">
      <c r="B11" s="37" t="s">
        <v>278</v>
      </c>
      <c r="C11" s="915">
        <v>239585</v>
      </c>
      <c r="D11" s="915">
        <v>0</v>
      </c>
      <c r="E11" s="915">
        <v>0</v>
      </c>
      <c r="F11" s="915">
        <v>0</v>
      </c>
      <c r="G11" s="915">
        <v>0</v>
      </c>
      <c r="H11" s="915">
        <v>0</v>
      </c>
      <c r="I11" s="915">
        <v>0</v>
      </c>
      <c r="J11" s="915" t="str">
        <f t="shared" si="0"/>
        <v>Governmental Services Tax</v>
      </c>
      <c r="K11" s="936">
        <f t="shared" si="1"/>
        <v>239585</v>
      </c>
      <c r="L11" s="293">
        <f t="shared" si="2"/>
        <v>239585</v>
      </c>
      <c r="M11" s="519" t="s">
        <v>279</v>
      </c>
    </row>
    <row r="12" spans="1:13" s="37" customFormat="1" hidden="1" x14ac:dyDescent="0.2">
      <c r="B12" s="37" t="s">
        <v>338</v>
      </c>
      <c r="C12" s="915">
        <v>0</v>
      </c>
      <c r="D12" s="915">
        <v>0</v>
      </c>
      <c r="E12" s="915">
        <v>0</v>
      </c>
      <c r="F12" s="915">
        <v>0</v>
      </c>
      <c r="G12" s="915">
        <v>0</v>
      </c>
      <c r="H12" s="915">
        <v>0</v>
      </c>
      <c r="I12" s="915">
        <v>0</v>
      </c>
      <c r="J12" s="915" t="str">
        <f t="shared" si="0"/>
        <v>Other Taxes</v>
      </c>
      <c r="K12" s="936">
        <f t="shared" si="1"/>
        <v>0</v>
      </c>
      <c r="M12" s="519"/>
    </row>
    <row r="13" spans="1:13" s="37" customFormat="1" hidden="1" x14ac:dyDescent="0.2">
      <c r="B13" s="37" t="s">
        <v>281</v>
      </c>
      <c r="C13" s="915">
        <v>0</v>
      </c>
      <c r="D13" s="915">
        <v>0</v>
      </c>
      <c r="E13" s="915">
        <v>0</v>
      </c>
      <c r="F13" s="915">
        <v>0</v>
      </c>
      <c r="G13" s="915">
        <v>0</v>
      </c>
      <c r="H13" s="915">
        <v>0</v>
      </c>
      <c r="I13" s="915">
        <v>0</v>
      </c>
      <c r="J13" s="915" t="str">
        <f t="shared" si="0"/>
        <v>Boat Registration</v>
      </c>
      <c r="K13" s="936">
        <f t="shared" si="1"/>
        <v>0</v>
      </c>
      <c r="M13" s="519"/>
    </row>
    <row r="14" spans="1:13" s="37" customFormat="1" hidden="1" x14ac:dyDescent="0.2">
      <c r="B14" s="37" t="s">
        <v>227</v>
      </c>
      <c r="C14" s="915">
        <v>0</v>
      </c>
      <c r="D14" s="915">
        <v>0</v>
      </c>
      <c r="E14" s="915">
        <v>0</v>
      </c>
      <c r="F14" s="915">
        <v>0</v>
      </c>
      <c r="G14" s="915">
        <v>0</v>
      </c>
      <c r="H14" s="915">
        <v>0</v>
      </c>
      <c r="I14" s="915">
        <v>0</v>
      </c>
      <c r="J14" s="915" t="str">
        <f t="shared" si="0"/>
        <v>Residential Construction Tax</v>
      </c>
      <c r="K14" s="936">
        <f t="shared" si="1"/>
        <v>0</v>
      </c>
      <c r="M14" s="519"/>
    </row>
    <row r="15" spans="1:13" s="37" customFormat="1" hidden="1" x14ac:dyDescent="0.2">
      <c r="B15" s="37" t="s">
        <v>282</v>
      </c>
      <c r="C15" s="915">
        <v>0</v>
      </c>
      <c r="D15" s="915">
        <v>0</v>
      </c>
      <c r="E15" s="915">
        <v>0</v>
      </c>
      <c r="F15" s="915">
        <v>0</v>
      </c>
      <c r="G15" s="915">
        <v>0</v>
      </c>
      <c r="H15" s="915">
        <v>0</v>
      </c>
      <c r="I15" s="915">
        <v>0</v>
      </c>
      <c r="J15" s="915" t="str">
        <f t="shared" si="0"/>
        <v>Tuition</v>
      </c>
      <c r="K15" s="936">
        <f t="shared" si="1"/>
        <v>0</v>
      </c>
      <c r="M15" s="519"/>
    </row>
    <row r="16" spans="1:13" s="37" customFormat="1" hidden="1" x14ac:dyDescent="0.2">
      <c r="B16" s="37" t="s">
        <v>143</v>
      </c>
      <c r="C16" s="915">
        <v>0</v>
      </c>
      <c r="D16" s="915">
        <v>0</v>
      </c>
      <c r="E16" s="915">
        <v>0</v>
      </c>
      <c r="F16" s="915">
        <v>0</v>
      </c>
      <c r="G16" s="915">
        <v>0</v>
      </c>
      <c r="H16" s="915">
        <v>0</v>
      </c>
      <c r="I16" s="915">
        <v>0</v>
      </c>
      <c r="J16" s="915" t="str">
        <f t="shared" si="0"/>
        <v>Summer School</v>
      </c>
      <c r="K16" s="936">
        <f t="shared" si="1"/>
        <v>0</v>
      </c>
      <c r="M16" s="519"/>
    </row>
    <row r="17" spans="1:13" s="37" customFormat="1" hidden="1" x14ac:dyDescent="0.2">
      <c r="B17" s="37" t="s">
        <v>283</v>
      </c>
      <c r="C17" s="915">
        <v>0</v>
      </c>
      <c r="D17" s="915">
        <v>0</v>
      </c>
      <c r="E17" s="915">
        <v>0</v>
      </c>
      <c r="F17" s="915">
        <v>0</v>
      </c>
      <c r="G17" s="915">
        <v>0</v>
      </c>
      <c r="H17" s="915">
        <v>0</v>
      </c>
      <c r="I17" s="915">
        <v>0</v>
      </c>
      <c r="J17" s="915" t="str">
        <f t="shared" si="0"/>
        <v>Transportation Fees</v>
      </c>
      <c r="K17" s="936">
        <f t="shared" si="1"/>
        <v>0</v>
      </c>
      <c r="M17" s="519"/>
    </row>
    <row r="18" spans="1:13" s="37" customFormat="1" x14ac:dyDescent="0.2">
      <c r="B18" s="37" t="s">
        <v>284</v>
      </c>
      <c r="C18" s="915">
        <v>20000</v>
      </c>
      <c r="D18" s="915">
        <v>0</v>
      </c>
      <c r="E18" s="915">
        <v>0</v>
      </c>
      <c r="F18" s="915">
        <v>500</v>
      </c>
      <c r="G18" s="915">
        <v>0</v>
      </c>
      <c r="H18" s="915">
        <v>0</v>
      </c>
      <c r="I18" s="915">
        <v>0</v>
      </c>
      <c r="J18" s="915" t="str">
        <f t="shared" si="0"/>
        <v>Earnings on Investments</v>
      </c>
      <c r="K18" s="936">
        <f t="shared" si="1"/>
        <v>20500</v>
      </c>
      <c r="M18" s="519"/>
    </row>
    <row r="19" spans="1:13" s="37" customFormat="1" hidden="1" x14ac:dyDescent="0.2">
      <c r="B19" s="37" t="s">
        <v>552</v>
      </c>
      <c r="C19" s="915">
        <v>0</v>
      </c>
      <c r="D19" s="915">
        <v>0</v>
      </c>
      <c r="E19" s="915">
        <v>0</v>
      </c>
      <c r="F19" s="915">
        <v>0</v>
      </c>
      <c r="G19" s="915">
        <v>0</v>
      </c>
      <c r="H19" s="915">
        <v>0</v>
      </c>
      <c r="I19" s="915">
        <v>0</v>
      </c>
      <c r="J19" s="915" t="str">
        <f t="shared" si="0"/>
        <v>Direct District Activities Revenue</v>
      </c>
      <c r="K19" s="936">
        <f t="shared" si="1"/>
        <v>0</v>
      </c>
      <c r="M19" s="519"/>
    </row>
    <row r="20" spans="1:13" s="37" customFormat="1" x14ac:dyDescent="0.2">
      <c r="B20" s="37" t="s">
        <v>286</v>
      </c>
      <c r="C20" s="915">
        <v>0</v>
      </c>
      <c r="D20" s="915">
        <v>0</v>
      </c>
      <c r="E20" s="915">
        <v>0</v>
      </c>
      <c r="F20" s="915">
        <v>0</v>
      </c>
      <c r="G20" s="915">
        <v>0</v>
      </c>
      <c r="H20" s="915">
        <v>3100</v>
      </c>
      <c r="I20" s="915">
        <v>0</v>
      </c>
      <c r="J20" s="915" t="str">
        <f t="shared" si="0"/>
        <v>Daily Sales - Food Services</v>
      </c>
      <c r="K20" s="936">
        <f t="shared" si="1"/>
        <v>3100</v>
      </c>
      <c r="M20" s="519"/>
    </row>
    <row r="21" spans="1:13" s="37" customFormat="1" hidden="1" x14ac:dyDescent="0.2">
      <c r="A21" s="37">
        <v>1900</v>
      </c>
      <c r="B21" s="37" t="s">
        <v>280</v>
      </c>
      <c r="C21" s="915">
        <v>0</v>
      </c>
      <c r="D21" s="915">
        <v>0</v>
      </c>
      <c r="E21" s="915">
        <v>0</v>
      </c>
      <c r="F21" s="915">
        <v>0</v>
      </c>
      <c r="G21" s="915">
        <v>0</v>
      </c>
      <c r="H21" s="915">
        <v>0</v>
      </c>
      <c r="I21" s="915">
        <v>0</v>
      </c>
      <c r="J21" s="915" t="str">
        <f t="shared" si="0"/>
        <v>Other Revenues</v>
      </c>
      <c r="K21" s="936">
        <f t="shared" si="1"/>
        <v>0</v>
      </c>
      <c r="M21" s="519"/>
    </row>
    <row r="22" spans="1:13" s="37" customFormat="1" x14ac:dyDescent="0.2">
      <c r="B22" s="37" t="s">
        <v>287</v>
      </c>
      <c r="C22" s="915">
        <v>0</v>
      </c>
      <c r="D22" s="915">
        <v>0</v>
      </c>
      <c r="E22" s="915">
        <v>0</v>
      </c>
      <c r="F22" s="915">
        <v>0</v>
      </c>
      <c r="G22" s="915">
        <v>0</v>
      </c>
      <c r="H22" s="915">
        <v>0</v>
      </c>
      <c r="I22" s="915">
        <v>10000</v>
      </c>
      <c r="J22" s="915" t="str">
        <f t="shared" si="0"/>
        <v>Rentals</v>
      </c>
      <c r="K22" s="936">
        <f t="shared" si="1"/>
        <v>10000</v>
      </c>
      <c r="M22" s="519"/>
    </row>
    <row r="23" spans="1:13" s="37" customFormat="1" hidden="1" x14ac:dyDescent="0.2">
      <c r="B23" s="37" t="s">
        <v>288</v>
      </c>
      <c r="C23" s="915">
        <v>0</v>
      </c>
      <c r="D23" s="915">
        <v>0</v>
      </c>
      <c r="E23" s="915">
        <v>0</v>
      </c>
      <c r="F23" s="915">
        <v>0</v>
      </c>
      <c r="G23" s="915">
        <v>0</v>
      </c>
      <c r="H23" s="915">
        <v>0</v>
      </c>
      <c r="I23" s="915">
        <v>0</v>
      </c>
      <c r="J23" s="915" t="str">
        <f t="shared" si="0"/>
        <v>Donations</v>
      </c>
      <c r="K23" s="936">
        <f t="shared" si="1"/>
        <v>0</v>
      </c>
      <c r="M23" s="519"/>
    </row>
    <row r="24" spans="1:13" s="37" customFormat="1" hidden="1" x14ac:dyDescent="0.2">
      <c r="B24" s="37" t="s">
        <v>598</v>
      </c>
      <c r="C24" s="915">
        <v>0</v>
      </c>
      <c r="D24" s="915">
        <v>0</v>
      </c>
      <c r="E24" s="915">
        <v>0</v>
      </c>
      <c r="F24" s="915">
        <v>0</v>
      </c>
      <c r="G24" s="915">
        <v>0</v>
      </c>
      <c r="H24" s="915">
        <v>0</v>
      </c>
      <c r="I24" s="915">
        <v>0</v>
      </c>
      <c r="J24" s="915" t="str">
        <f t="shared" si="0"/>
        <v>Services Provided Other Govts</v>
      </c>
      <c r="K24" s="936">
        <f t="shared" si="1"/>
        <v>0</v>
      </c>
      <c r="M24" s="519"/>
    </row>
    <row r="25" spans="1:13" s="37" customFormat="1" x14ac:dyDescent="0.2">
      <c r="B25" s="37" t="s">
        <v>289</v>
      </c>
      <c r="C25" s="915">
        <v>1150</v>
      </c>
      <c r="D25" s="915">
        <v>0</v>
      </c>
      <c r="E25" s="915">
        <v>0</v>
      </c>
      <c r="F25" s="915">
        <v>0</v>
      </c>
      <c r="G25" s="915">
        <v>0</v>
      </c>
      <c r="H25" s="915">
        <v>0</v>
      </c>
      <c r="I25" s="915">
        <v>0</v>
      </c>
      <c r="J25" s="915" t="str">
        <f t="shared" si="0"/>
        <v>Miscellaneous</v>
      </c>
      <c r="K25" s="936">
        <f t="shared" si="1"/>
        <v>1150</v>
      </c>
      <c r="M25" s="519"/>
    </row>
    <row r="26" spans="1:13" s="37" customFormat="1" hidden="1" x14ac:dyDescent="0.2">
      <c r="B26" s="37" t="s">
        <v>290</v>
      </c>
      <c r="C26" s="915">
        <v>0</v>
      </c>
      <c r="D26" s="915">
        <v>0</v>
      </c>
      <c r="E26" s="915">
        <v>0</v>
      </c>
      <c r="F26" s="915">
        <v>0</v>
      </c>
      <c r="G26" s="915">
        <v>0</v>
      </c>
      <c r="H26" s="915">
        <v>0</v>
      </c>
      <c r="I26" s="915">
        <v>0</v>
      </c>
      <c r="J26" s="915" t="str">
        <f t="shared" si="0"/>
        <v>Indirect Costs</v>
      </c>
      <c r="K26" s="936">
        <f t="shared" si="1"/>
        <v>0</v>
      </c>
      <c r="M26" s="519"/>
    </row>
    <row r="27" spans="1:13" hidden="1" x14ac:dyDescent="0.2">
      <c r="B27" s="3"/>
      <c r="C27" s="916"/>
      <c r="D27" s="916"/>
      <c r="E27" s="916"/>
      <c r="F27" s="916"/>
      <c r="G27" s="916"/>
      <c r="H27" s="916"/>
      <c r="I27" s="916"/>
      <c r="J27" s="908"/>
      <c r="K27" s="908"/>
    </row>
    <row r="28" spans="1:13" s="2" customFormat="1" x14ac:dyDescent="0.2">
      <c r="B28" s="39" t="s">
        <v>124</v>
      </c>
      <c r="C28" s="931">
        <f>SUM(C4:C27)</f>
        <v>872541</v>
      </c>
      <c r="D28" s="931">
        <f t="shared" ref="D28:I28" si="3">SUM(D4:D27)</f>
        <v>0</v>
      </c>
      <c r="E28" s="931">
        <f t="shared" si="3"/>
        <v>0</v>
      </c>
      <c r="F28" s="931">
        <f t="shared" si="3"/>
        <v>500</v>
      </c>
      <c r="G28" s="931">
        <f t="shared" si="3"/>
        <v>0</v>
      </c>
      <c r="H28" s="931">
        <f t="shared" si="3"/>
        <v>3100</v>
      </c>
      <c r="I28" s="931">
        <f t="shared" si="3"/>
        <v>10000</v>
      </c>
      <c r="J28" s="930">
        <f>SUM(C28:I28)</f>
        <v>886141</v>
      </c>
      <c r="K28" s="903"/>
      <c r="M28" s="53"/>
    </row>
    <row r="29" spans="1:13" x14ac:dyDescent="0.2">
      <c r="B29" s="16"/>
      <c r="C29" s="916"/>
      <c r="D29" s="916"/>
      <c r="E29" s="916"/>
      <c r="F29" s="916"/>
      <c r="G29" s="916"/>
      <c r="H29" s="916"/>
      <c r="I29" s="916"/>
      <c r="J29" s="922"/>
      <c r="K29" s="908"/>
    </row>
    <row r="30" spans="1:13" x14ac:dyDescent="0.2">
      <c r="B30" s="37" t="s">
        <v>291</v>
      </c>
      <c r="C30" s="913">
        <v>1244939</v>
      </c>
      <c r="D30" s="913">
        <v>0</v>
      </c>
      <c r="E30" s="913">
        <v>0</v>
      </c>
      <c r="F30" s="913">
        <v>0</v>
      </c>
      <c r="G30" s="913">
        <v>56338</v>
      </c>
      <c r="H30" s="913">
        <v>0</v>
      </c>
      <c r="I30" s="913">
        <v>0</v>
      </c>
      <c r="J30" s="919" t="str">
        <f t="shared" ref="J30:J39" si="4">B30</f>
        <v>Distributive School Fund (DSA)</v>
      </c>
      <c r="K30" s="919">
        <f t="shared" ref="K30:K39" si="5">SUM(C30:I30)</f>
        <v>1301277</v>
      </c>
    </row>
    <row r="31" spans="1:13" hidden="1" x14ac:dyDescent="0.2">
      <c r="B31" s="37" t="s">
        <v>292</v>
      </c>
      <c r="C31" s="913">
        <v>0</v>
      </c>
      <c r="D31" s="913">
        <v>0</v>
      </c>
      <c r="E31" s="913">
        <v>0</v>
      </c>
      <c r="F31" s="913">
        <v>0</v>
      </c>
      <c r="G31" s="913">
        <v>0</v>
      </c>
      <c r="H31" s="913">
        <v>0</v>
      </c>
      <c r="I31" s="913">
        <v>0</v>
      </c>
      <c r="J31" s="919" t="str">
        <f t="shared" si="4"/>
        <v>DSA Charter Reduction-Outside Revs</v>
      </c>
      <c r="K31" s="919">
        <f t="shared" si="5"/>
        <v>0</v>
      </c>
    </row>
    <row r="32" spans="1:13" hidden="1" x14ac:dyDescent="0.2">
      <c r="B32" s="37" t="s">
        <v>293</v>
      </c>
      <c r="C32" s="913">
        <v>0</v>
      </c>
      <c r="D32" s="913">
        <v>0</v>
      </c>
      <c r="E32" s="913">
        <v>0</v>
      </c>
      <c r="F32" s="913">
        <v>0</v>
      </c>
      <c r="G32" s="913">
        <v>0</v>
      </c>
      <c r="H32" s="913">
        <v>0</v>
      </c>
      <c r="I32" s="913">
        <v>0</v>
      </c>
      <c r="J32" s="919" t="str">
        <f t="shared" si="4"/>
        <v>Special Education - DSA Funding</v>
      </c>
      <c r="K32" s="919">
        <f t="shared" si="5"/>
        <v>0</v>
      </c>
    </row>
    <row r="33" spans="1:13" hidden="1" x14ac:dyDescent="0.2">
      <c r="B33" s="37" t="s">
        <v>475</v>
      </c>
      <c r="C33" s="913">
        <v>0</v>
      </c>
      <c r="D33" s="913">
        <v>0</v>
      </c>
      <c r="E33" s="913">
        <v>0</v>
      </c>
      <c r="F33" s="913">
        <v>0</v>
      </c>
      <c r="G33" s="913">
        <v>0</v>
      </c>
      <c r="H33" s="913">
        <v>0</v>
      </c>
      <c r="I33" s="913">
        <v>0</v>
      </c>
      <c r="J33" s="919" t="str">
        <f t="shared" si="4"/>
        <v>Counseling - DSA Funding</v>
      </c>
      <c r="K33" s="919">
        <f t="shared" si="5"/>
        <v>0</v>
      </c>
    </row>
    <row r="34" spans="1:13" hidden="1" x14ac:dyDescent="0.2">
      <c r="B34" s="37" t="s">
        <v>294</v>
      </c>
      <c r="C34" s="913">
        <v>0</v>
      </c>
      <c r="D34" s="913">
        <v>0</v>
      </c>
      <c r="E34" s="913">
        <v>0</v>
      </c>
      <c r="F34" s="913">
        <v>0</v>
      </c>
      <c r="G34" s="913">
        <v>0</v>
      </c>
      <c r="H34" s="913">
        <v>0</v>
      </c>
      <c r="I34" s="913">
        <v>0</v>
      </c>
      <c r="J34" s="919" t="str">
        <f t="shared" si="4"/>
        <v>State Food Aid</v>
      </c>
      <c r="K34" s="919">
        <f t="shared" si="5"/>
        <v>0</v>
      </c>
    </row>
    <row r="35" spans="1:13" x14ac:dyDescent="0.2">
      <c r="B35" s="37" t="s">
        <v>295</v>
      </c>
      <c r="C35" s="913">
        <v>0</v>
      </c>
      <c r="D35" s="913">
        <v>179488</v>
      </c>
      <c r="E35" s="913">
        <v>0</v>
      </c>
      <c r="F35" s="913">
        <v>0</v>
      </c>
      <c r="G35" s="913">
        <v>0</v>
      </c>
      <c r="H35" s="913">
        <v>0</v>
      </c>
      <c r="I35" s="913">
        <v>0</v>
      </c>
      <c r="J35" s="919" t="str">
        <f t="shared" si="4"/>
        <v>Restricted Funding/Grants-in-aid rev</v>
      </c>
      <c r="K35" s="919">
        <f t="shared" si="5"/>
        <v>179488</v>
      </c>
    </row>
    <row r="36" spans="1:13" hidden="1" x14ac:dyDescent="0.2">
      <c r="B36" s="37" t="s">
        <v>296</v>
      </c>
      <c r="C36" s="913">
        <v>0</v>
      </c>
      <c r="D36" s="913">
        <v>0</v>
      </c>
      <c r="E36" s="913">
        <v>0</v>
      </c>
      <c r="F36" s="913">
        <v>0</v>
      </c>
      <c r="G36" s="913">
        <v>0</v>
      </c>
      <c r="H36" s="913">
        <v>0</v>
      </c>
      <c r="I36" s="913">
        <v>0</v>
      </c>
      <c r="J36" s="919" t="str">
        <f t="shared" si="4"/>
        <v>Audult High School Diploma</v>
      </c>
      <c r="K36" s="919">
        <f t="shared" si="5"/>
        <v>0</v>
      </c>
    </row>
    <row r="37" spans="1:13" hidden="1" x14ac:dyDescent="0.2">
      <c r="B37" s="37" t="s">
        <v>553</v>
      </c>
      <c r="C37" s="913">
        <v>0</v>
      </c>
      <c r="D37" s="913">
        <v>0</v>
      </c>
      <c r="E37" s="913">
        <v>0</v>
      </c>
      <c r="F37" s="913">
        <v>0</v>
      </c>
      <c r="G37" s="913">
        <v>0</v>
      </c>
      <c r="H37" s="913">
        <v>0</v>
      </c>
      <c r="I37" s="913">
        <v>0</v>
      </c>
      <c r="J37" s="919" t="str">
        <f t="shared" si="4"/>
        <v>SB 178 NV Education Fund Plan</v>
      </c>
      <c r="K37" s="919">
        <f t="shared" si="5"/>
        <v>0</v>
      </c>
    </row>
    <row r="38" spans="1:13" hidden="1" x14ac:dyDescent="0.2">
      <c r="B38" s="37" t="s">
        <v>191</v>
      </c>
      <c r="C38" s="913">
        <v>0</v>
      </c>
      <c r="D38" s="913">
        <v>0</v>
      </c>
      <c r="E38" s="913">
        <v>0</v>
      </c>
      <c r="F38" s="913">
        <v>0</v>
      </c>
      <c r="G38" s="913">
        <v>0</v>
      </c>
      <c r="H38" s="913">
        <v>0</v>
      </c>
      <c r="I38" s="913">
        <v>0</v>
      </c>
      <c r="J38" s="919" t="str">
        <f t="shared" si="4"/>
        <v>Class Size Reduction</v>
      </c>
      <c r="K38" s="919">
        <f t="shared" si="5"/>
        <v>0</v>
      </c>
    </row>
    <row r="39" spans="1:13" hidden="1" x14ac:dyDescent="0.2">
      <c r="B39" s="37" t="s">
        <v>386</v>
      </c>
      <c r="C39" s="913">
        <v>0</v>
      </c>
      <c r="D39" s="913">
        <v>0</v>
      </c>
      <c r="E39" s="913">
        <v>0</v>
      </c>
      <c r="F39" s="913">
        <v>0</v>
      </c>
      <c r="G39" s="913">
        <v>0</v>
      </c>
      <c r="H39" s="913">
        <v>0</v>
      </c>
      <c r="I39" s="913">
        <v>0</v>
      </c>
      <c r="J39" s="919" t="str">
        <f t="shared" si="4"/>
        <v>For/on behalf of School District</v>
      </c>
      <c r="K39" s="919">
        <f t="shared" si="5"/>
        <v>0</v>
      </c>
    </row>
    <row r="40" spans="1:13" hidden="1" x14ac:dyDescent="0.2">
      <c r="C40" s="916"/>
      <c r="D40" s="916"/>
      <c r="E40" s="916"/>
      <c r="F40" s="916"/>
      <c r="G40" s="916"/>
      <c r="H40" s="916"/>
      <c r="I40" s="916"/>
      <c r="J40" s="922"/>
      <c r="K40" s="908"/>
    </row>
    <row r="41" spans="1:13" s="2" customFormat="1" x14ac:dyDescent="0.2">
      <c r="B41" s="39" t="s">
        <v>125</v>
      </c>
      <c r="C41" s="931">
        <f>SUM(C29:C40)</f>
        <v>1244939</v>
      </c>
      <c r="D41" s="931">
        <f t="shared" ref="D41:I41" si="6">SUM(D29:D40)</f>
        <v>179488</v>
      </c>
      <c r="E41" s="931">
        <f t="shared" si="6"/>
        <v>0</v>
      </c>
      <c r="F41" s="931">
        <f t="shared" si="6"/>
        <v>0</v>
      </c>
      <c r="G41" s="931">
        <f t="shared" si="6"/>
        <v>56338</v>
      </c>
      <c r="H41" s="931">
        <f t="shared" si="6"/>
        <v>0</v>
      </c>
      <c r="I41" s="931">
        <f t="shared" si="6"/>
        <v>0</v>
      </c>
      <c r="J41" s="930">
        <f>SUM(C41:I41)</f>
        <v>1480765</v>
      </c>
      <c r="K41" s="903"/>
      <c r="L41" s="20">
        <f>SUM(L5:L40)</f>
        <v>851391</v>
      </c>
      <c r="M41" s="53"/>
    </row>
    <row r="42" spans="1:13" s="2" customFormat="1" x14ac:dyDescent="0.2">
      <c r="B42" s="39"/>
      <c r="C42" s="931"/>
      <c r="D42" s="931"/>
      <c r="E42" s="931"/>
      <c r="F42" s="931"/>
      <c r="G42" s="931"/>
      <c r="H42" s="931"/>
      <c r="I42" s="931"/>
      <c r="J42" s="930"/>
      <c r="K42" s="903"/>
      <c r="M42" s="53"/>
    </row>
    <row r="43" spans="1:13" s="37" customFormat="1" hidden="1" x14ac:dyDescent="0.2">
      <c r="A43" s="45"/>
      <c r="B43" s="37" t="s">
        <v>297</v>
      </c>
      <c r="C43" s="920">
        <v>0</v>
      </c>
      <c r="D43" s="920">
        <v>0</v>
      </c>
      <c r="E43" s="920">
        <v>0</v>
      </c>
      <c r="F43" s="920">
        <v>0</v>
      </c>
      <c r="G43" s="920">
        <v>0</v>
      </c>
      <c r="H43" s="920">
        <v>0</v>
      </c>
      <c r="I43" s="920">
        <v>0</v>
      </c>
      <c r="J43" s="921" t="str">
        <f t="shared" ref="J43:J51" si="7">B43</f>
        <v>Medicaid SBCHS Reimbursement</v>
      </c>
      <c r="K43" s="921">
        <f t="shared" ref="K43:K51" si="8">SUM(C43:I43)</f>
        <v>0</v>
      </c>
      <c r="M43" s="519"/>
    </row>
    <row r="44" spans="1:13" s="37" customFormat="1" x14ac:dyDescent="0.2">
      <c r="A44" s="45"/>
      <c r="B44" s="37" t="s">
        <v>390</v>
      </c>
      <c r="C44" s="920">
        <v>12500</v>
      </c>
      <c r="D44" s="920">
        <v>0</v>
      </c>
      <c r="E44" s="920">
        <v>0</v>
      </c>
      <c r="F44" s="920">
        <v>0</v>
      </c>
      <c r="G44" s="920">
        <v>0</v>
      </c>
      <c r="H44" s="920">
        <v>0</v>
      </c>
      <c r="I44" s="920">
        <v>0</v>
      </c>
      <c r="J44" s="921" t="str">
        <f t="shared" si="7"/>
        <v>Unrestricted - Direct Fed Gov't</v>
      </c>
      <c r="K44" s="921">
        <f t="shared" si="8"/>
        <v>12500</v>
      </c>
      <c r="M44" s="519"/>
    </row>
    <row r="45" spans="1:13" s="37" customFormat="1" x14ac:dyDescent="0.2">
      <c r="A45" s="45"/>
      <c r="B45" s="37" t="s">
        <v>617</v>
      </c>
      <c r="C45" s="920">
        <v>21000</v>
      </c>
      <c r="D45" s="920">
        <v>0</v>
      </c>
      <c r="E45" s="920">
        <v>0</v>
      </c>
      <c r="F45" s="920">
        <v>0</v>
      </c>
      <c r="G45" s="920">
        <v>0</v>
      </c>
      <c r="H45" s="920">
        <v>0</v>
      </c>
      <c r="I45" s="920">
        <v>0</v>
      </c>
      <c r="J45" s="921" t="str">
        <f t="shared" si="7"/>
        <v>Unrestricted - State Agency</v>
      </c>
      <c r="K45" s="921">
        <f t="shared" si="8"/>
        <v>21000</v>
      </c>
      <c r="M45" s="519"/>
    </row>
    <row r="46" spans="1:13" s="37" customFormat="1" hidden="1" x14ac:dyDescent="0.2">
      <c r="A46" s="45"/>
      <c r="B46" s="37" t="s">
        <v>599</v>
      </c>
      <c r="C46" s="920">
        <v>0</v>
      </c>
      <c r="D46" s="920">
        <v>0</v>
      </c>
      <c r="E46" s="920">
        <v>0</v>
      </c>
      <c r="F46" s="920">
        <v>0</v>
      </c>
      <c r="G46" s="920">
        <v>0</v>
      </c>
      <c r="H46" s="920">
        <v>0</v>
      </c>
      <c r="I46" s="920">
        <v>0</v>
      </c>
      <c r="J46" s="921" t="str">
        <f t="shared" si="7"/>
        <v>Restricted - Direct Fed Gov't</v>
      </c>
      <c r="K46" s="921">
        <f t="shared" si="8"/>
        <v>0</v>
      </c>
      <c r="M46" s="519"/>
    </row>
    <row r="47" spans="1:13" s="37" customFormat="1" hidden="1" x14ac:dyDescent="0.2">
      <c r="A47" s="45"/>
      <c r="B47" s="37" t="s">
        <v>299</v>
      </c>
      <c r="C47" s="920">
        <v>0</v>
      </c>
      <c r="D47" s="920">
        <v>0</v>
      </c>
      <c r="E47" s="920">
        <v>0</v>
      </c>
      <c r="F47" s="920">
        <v>0</v>
      </c>
      <c r="G47" s="920">
        <v>0</v>
      </c>
      <c r="H47" s="920">
        <v>0</v>
      </c>
      <c r="I47" s="920">
        <v>0</v>
      </c>
      <c r="J47" s="921" t="str">
        <f t="shared" si="7"/>
        <v>Restricted - Direct</v>
      </c>
      <c r="K47" s="921">
        <f t="shared" si="8"/>
        <v>0</v>
      </c>
      <c r="M47" s="519"/>
    </row>
    <row r="48" spans="1:13" s="37" customFormat="1" x14ac:dyDescent="0.2">
      <c r="A48" s="45"/>
      <c r="B48" s="37" t="s">
        <v>298</v>
      </c>
      <c r="C48" s="920">
        <v>0</v>
      </c>
      <c r="D48" s="920">
        <v>0</v>
      </c>
      <c r="E48" s="920">
        <v>66145</v>
      </c>
      <c r="F48" s="920">
        <v>0</v>
      </c>
      <c r="G48" s="920">
        <v>0</v>
      </c>
      <c r="H48" s="920">
        <v>10000</v>
      </c>
      <c r="I48" s="920">
        <v>0</v>
      </c>
      <c r="J48" s="921" t="str">
        <f t="shared" si="7"/>
        <v>Restricted - State Agency</v>
      </c>
      <c r="K48" s="921">
        <f t="shared" si="8"/>
        <v>76145</v>
      </c>
      <c r="M48" s="519"/>
    </row>
    <row r="49" spans="1:13" s="37" customFormat="1" hidden="1" x14ac:dyDescent="0.2">
      <c r="A49" s="45"/>
      <c r="B49" s="37" t="s">
        <v>476</v>
      </c>
      <c r="C49" s="920">
        <v>0</v>
      </c>
      <c r="D49" s="920">
        <v>0</v>
      </c>
      <c r="E49" s="920">
        <v>0</v>
      </c>
      <c r="F49" s="920">
        <v>0</v>
      </c>
      <c r="G49" s="920">
        <v>0</v>
      </c>
      <c r="H49" s="920">
        <v>0</v>
      </c>
      <c r="I49" s="920">
        <v>0</v>
      </c>
      <c r="J49" s="921" t="str">
        <f t="shared" si="7"/>
        <v>Restricted - Other Agency</v>
      </c>
      <c r="K49" s="921">
        <f t="shared" si="8"/>
        <v>0</v>
      </c>
      <c r="M49" s="519"/>
    </row>
    <row r="50" spans="1:13" s="37" customFormat="1" hidden="1" x14ac:dyDescent="0.2">
      <c r="A50" s="45"/>
      <c r="B50" s="37" t="s">
        <v>398</v>
      </c>
      <c r="C50" s="913">
        <v>0</v>
      </c>
      <c r="D50" s="913">
        <v>0</v>
      </c>
      <c r="E50" s="913">
        <v>0</v>
      </c>
      <c r="F50" s="913">
        <v>0</v>
      </c>
      <c r="G50" s="913">
        <v>0</v>
      </c>
      <c r="H50" s="913">
        <v>0</v>
      </c>
      <c r="I50" s="913">
        <v>0</v>
      </c>
      <c r="J50" s="921" t="str">
        <f t="shared" si="7"/>
        <v>Revenue in Lieu of Taxes</v>
      </c>
      <c r="K50" s="921">
        <f t="shared" si="8"/>
        <v>0</v>
      </c>
      <c r="M50" s="519"/>
    </row>
    <row r="51" spans="1:13" hidden="1" x14ac:dyDescent="0.2">
      <c r="B51" s="37" t="s">
        <v>554</v>
      </c>
      <c r="C51" s="913">
        <v>0</v>
      </c>
      <c r="D51" s="913">
        <v>0</v>
      </c>
      <c r="E51" s="913">
        <v>0</v>
      </c>
      <c r="F51" s="913">
        <v>0</v>
      </c>
      <c r="G51" s="913">
        <v>0</v>
      </c>
      <c r="H51" s="913">
        <v>0</v>
      </c>
      <c r="I51" s="913">
        <v>0</v>
      </c>
      <c r="J51" s="919" t="str">
        <f t="shared" si="7"/>
        <v>Revenue for/on behalf of School District</v>
      </c>
      <c r="K51" s="919">
        <f t="shared" si="8"/>
        <v>0</v>
      </c>
    </row>
    <row r="52" spans="1:13" hidden="1" x14ac:dyDescent="0.2">
      <c r="B52" s="37"/>
      <c r="C52" s="913"/>
      <c r="D52" s="913"/>
      <c r="E52" s="913"/>
      <c r="F52" s="913"/>
      <c r="G52" s="913"/>
      <c r="H52" s="913"/>
      <c r="I52" s="913"/>
      <c r="J52" s="919"/>
      <c r="K52" s="919"/>
    </row>
    <row r="53" spans="1:13" s="2" customFormat="1" x14ac:dyDescent="0.2">
      <c r="B53" s="39" t="s">
        <v>126</v>
      </c>
      <c r="C53" s="931">
        <f>SUM(C42:C52)</f>
        <v>33500</v>
      </c>
      <c r="D53" s="931">
        <f t="shared" ref="D53:I53" si="9">SUM(D42:D52)</f>
        <v>0</v>
      </c>
      <c r="E53" s="931">
        <f t="shared" si="9"/>
        <v>66145</v>
      </c>
      <c r="F53" s="931">
        <f t="shared" si="9"/>
        <v>0</v>
      </c>
      <c r="G53" s="931">
        <f t="shared" si="9"/>
        <v>0</v>
      </c>
      <c r="H53" s="931">
        <f t="shared" si="9"/>
        <v>10000</v>
      </c>
      <c r="I53" s="931">
        <f t="shared" si="9"/>
        <v>0</v>
      </c>
      <c r="J53" s="930">
        <f>SUM(C53:I53)</f>
        <v>109645</v>
      </c>
      <c r="K53" s="903"/>
      <c r="M53" s="53"/>
    </row>
    <row r="54" spans="1:13" x14ac:dyDescent="0.2">
      <c r="B54" s="16"/>
      <c r="C54" s="916"/>
      <c r="D54" s="916"/>
      <c r="E54" s="916"/>
      <c r="F54" s="916"/>
      <c r="G54" s="916"/>
      <c r="H54" s="916"/>
      <c r="I54" s="916"/>
      <c r="J54" s="922"/>
      <c r="K54" s="908"/>
    </row>
    <row r="55" spans="1:13" hidden="1" x14ac:dyDescent="0.2">
      <c r="B55" t="s">
        <v>300</v>
      </c>
      <c r="C55" s="913">
        <v>0</v>
      </c>
      <c r="D55" s="913">
        <v>0</v>
      </c>
      <c r="E55" s="913">
        <v>0</v>
      </c>
      <c r="F55" s="913">
        <v>0</v>
      </c>
      <c r="G55" s="913">
        <v>0</v>
      </c>
      <c r="H55" s="913">
        <v>0</v>
      </c>
      <c r="I55" s="913">
        <v>0</v>
      </c>
      <c r="J55" s="921" t="str">
        <f>B55</f>
        <v xml:space="preserve">Bond Principal </v>
      </c>
      <c r="K55" s="921">
        <f>SUM(C55:I55)</f>
        <v>0</v>
      </c>
    </row>
    <row r="56" spans="1:13" hidden="1" x14ac:dyDescent="0.2">
      <c r="B56" s="3" t="s">
        <v>408</v>
      </c>
      <c r="C56" s="913">
        <v>0</v>
      </c>
      <c r="D56" s="913">
        <v>0</v>
      </c>
      <c r="E56" s="913">
        <v>0</v>
      </c>
      <c r="F56" s="913">
        <v>0</v>
      </c>
      <c r="G56" s="913">
        <v>0</v>
      </c>
      <c r="H56" s="913">
        <v>0</v>
      </c>
      <c r="I56" s="913">
        <v>0</v>
      </c>
      <c r="J56" s="921" t="str">
        <f>B56</f>
        <v>Premium/Discount of Bond Sale</v>
      </c>
      <c r="K56" s="921">
        <f>SUM(C56:I56)</f>
        <v>0</v>
      </c>
    </row>
    <row r="57" spans="1:13" s="37" customFormat="1" x14ac:dyDescent="0.2">
      <c r="A57" s="45"/>
      <c r="B57" s="37" t="s">
        <v>301</v>
      </c>
      <c r="C57" s="913">
        <v>0</v>
      </c>
      <c r="D57" s="913">
        <v>32813</v>
      </c>
      <c r="E57" s="913">
        <v>0</v>
      </c>
      <c r="F57" s="913">
        <v>0</v>
      </c>
      <c r="G57" s="913">
        <v>44620</v>
      </c>
      <c r="H57" s="913">
        <v>49284</v>
      </c>
      <c r="I57" s="913">
        <v>0</v>
      </c>
      <c r="J57" s="921" t="str">
        <f>B57</f>
        <v>Transfers from Other Funds</v>
      </c>
      <c r="K57" s="921">
        <f>SUM(C57:I57)</f>
        <v>126717</v>
      </c>
      <c r="M57" s="519"/>
    </row>
    <row r="58" spans="1:13" s="37" customFormat="1" x14ac:dyDescent="0.2">
      <c r="A58" s="45"/>
      <c r="B58" s="37" t="s">
        <v>618</v>
      </c>
      <c r="C58" s="913">
        <v>0</v>
      </c>
      <c r="D58" s="913">
        <v>0</v>
      </c>
      <c r="E58" s="913">
        <v>0</v>
      </c>
      <c r="F58" s="913">
        <v>0</v>
      </c>
      <c r="G58" s="913">
        <v>0</v>
      </c>
      <c r="H58" s="913">
        <v>0</v>
      </c>
      <c r="I58" s="913">
        <v>25625</v>
      </c>
      <c r="J58" s="921" t="str">
        <f>B58</f>
        <v>Special Items</v>
      </c>
      <c r="K58" s="921">
        <f>SUM(C58:I58)</f>
        <v>25625</v>
      </c>
      <c r="M58" s="519"/>
    </row>
    <row r="59" spans="1:13" s="37" customFormat="1" hidden="1" x14ac:dyDescent="0.2">
      <c r="A59" s="45"/>
      <c r="B59" s="37" t="s">
        <v>302</v>
      </c>
      <c r="C59" s="913">
        <v>0</v>
      </c>
      <c r="D59" s="913">
        <v>0</v>
      </c>
      <c r="E59" s="913">
        <v>0</v>
      </c>
      <c r="F59" s="913">
        <v>0</v>
      </c>
      <c r="G59" s="913">
        <v>0</v>
      </c>
      <c r="H59" s="913">
        <v>0</v>
      </c>
      <c r="I59" s="913">
        <v>0</v>
      </c>
      <c r="J59" s="921" t="str">
        <f>B59</f>
        <v xml:space="preserve">Gain/Loss Disposal of Assets </v>
      </c>
      <c r="K59" s="921">
        <f>SUM(C59:I59)</f>
        <v>0</v>
      </c>
      <c r="M59" s="519"/>
    </row>
    <row r="60" spans="1:13" hidden="1" x14ac:dyDescent="0.2">
      <c r="C60" s="916"/>
      <c r="D60" s="916"/>
      <c r="E60" s="916"/>
      <c r="F60" s="916"/>
      <c r="G60" s="916"/>
      <c r="H60" s="916"/>
      <c r="I60" s="916"/>
      <c r="J60" s="922"/>
      <c r="K60" s="908"/>
    </row>
    <row r="61" spans="1:13" s="2" customFormat="1" x14ac:dyDescent="0.2">
      <c r="B61" s="39" t="s">
        <v>127</v>
      </c>
      <c r="C61" s="931">
        <f>SUM(C54:C60)</f>
        <v>0</v>
      </c>
      <c r="D61" s="931">
        <f t="shared" ref="D61:I61" si="10">SUM(D54:D60)</f>
        <v>32813</v>
      </c>
      <c r="E61" s="931">
        <f t="shared" si="10"/>
        <v>0</v>
      </c>
      <c r="F61" s="931">
        <f t="shared" si="10"/>
        <v>0</v>
      </c>
      <c r="G61" s="931">
        <f t="shared" si="10"/>
        <v>44620</v>
      </c>
      <c r="H61" s="931">
        <f t="shared" si="10"/>
        <v>49284</v>
      </c>
      <c r="I61" s="931">
        <f t="shared" si="10"/>
        <v>25625</v>
      </c>
      <c r="J61" s="930">
        <f>SUM(C61:I61)</f>
        <v>152342</v>
      </c>
      <c r="K61" s="903"/>
      <c r="M61" s="53"/>
    </row>
    <row r="62" spans="1:13" x14ac:dyDescent="0.2">
      <c r="C62" s="916"/>
      <c r="D62" s="916"/>
      <c r="E62" s="916"/>
      <c r="F62" s="916"/>
      <c r="G62" s="916"/>
      <c r="H62" s="916"/>
      <c r="I62" s="916"/>
      <c r="J62" s="922"/>
      <c r="K62" s="908"/>
    </row>
    <row r="63" spans="1:13" s="2" customFormat="1" x14ac:dyDescent="0.2">
      <c r="B63" s="18" t="s">
        <v>128</v>
      </c>
      <c r="C63" s="931">
        <f>SUM(C61,C53,C41,C28)</f>
        <v>2150980</v>
      </c>
      <c r="D63" s="931">
        <f t="shared" ref="D63:I63" si="11">SUM(D61,D53,D41,D28)</f>
        <v>212301</v>
      </c>
      <c r="E63" s="931">
        <f t="shared" si="11"/>
        <v>66145</v>
      </c>
      <c r="F63" s="931">
        <f t="shared" si="11"/>
        <v>500</v>
      </c>
      <c r="G63" s="931">
        <f t="shared" si="11"/>
        <v>100958</v>
      </c>
      <c r="H63" s="931">
        <f t="shared" si="11"/>
        <v>62384</v>
      </c>
      <c r="I63" s="931">
        <f t="shared" si="11"/>
        <v>35625</v>
      </c>
      <c r="J63" s="930">
        <f>SUM(J28:J62)</f>
        <v>2628893</v>
      </c>
      <c r="K63" s="903"/>
      <c r="M63" s="53"/>
    </row>
    <row r="64" spans="1:13" s="2" customFormat="1" x14ac:dyDescent="0.2">
      <c r="B64" s="18"/>
      <c r="C64" s="931"/>
      <c r="D64" s="931"/>
      <c r="E64" s="931"/>
      <c r="F64" s="931"/>
      <c r="G64" s="931"/>
      <c r="H64" s="931"/>
      <c r="I64" s="931"/>
      <c r="J64" s="930"/>
      <c r="K64" s="903"/>
      <c r="M64" s="53"/>
    </row>
    <row r="65" spans="1:13" s="37" customFormat="1" hidden="1" x14ac:dyDescent="0.2">
      <c r="A65" s="45"/>
      <c r="B65" s="37" t="s">
        <v>303</v>
      </c>
      <c r="C65" s="920">
        <v>0</v>
      </c>
      <c r="D65" s="920">
        <v>0</v>
      </c>
      <c r="E65" s="920">
        <v>0</v>
      </c>
      <c r="F65" s="920">
        <v>0</v>
      </c>
      <c r="G65" s="920">
        <v>0</v>
      </c>
      <c r="H65" s="920">
        <v>0</v>
      </c>
      <c r="I65" s="920">
        <v>0</v>
      </c>
      <c r="J65" s="921" t="str">
        <f>B65</f>
        <v>Reserved Opening Balance</v>
      </c>
      <c r="K65" s="921">
        <f>SUM(C65:I65)</f>
        <v>0</v>
      </c>
      <c r="M65" s="519"/>
    </row>
    <row r="66" spans="1:13" s="37" customFormat="1" x14ac:dyDescent="0.2">
      <c r="A66" s="45"/>
      <c r="B66" s="37" t="s">
        <v>600</v>
      </c>
      <c r="C66" s="920">
        <v>0</v>
      </c>
      <c r="D66" s="920">
        <v>0</v>
      </c>
      <c r="E66" s="920">
        <v>0</v>
      </c>
      <c r="F66" s="920">
        <v>0</v>
      </c>
      <c r="G66" s="920">
        <v>18463</v>
      </c>
      <c r="H66" s="920">
        <v>15740</v>
      </c>
      <c r="I66" s="920">
        <v>284472</v>
      </c>
      <c r="J66" s="921" t="str">
        <f>B66</f>
        <v>Unreserved Opening Balance</v>
      </c>
      <c r="K66" s="921">
        <f>SUM(C66:I66)</f>
        <v>318675</v>
      </c>
      <c r="M66" s="519"/>
    </row>
    <row r="67" spans="1:13" s="37" customFormat="1" x14ac:dyDescent="0.2">
      <c r="A67" s="45"/>
      <c r="B67" s="37" t="s">
        <v>304</v>
      </c>
      <c r="C67" s="920">
        <v>2417355</v>
      </c>
      <c r="D67" s="920">
        <v>0</v>
      </c>
      <c r="E67" s="920">
        <v>0</v>
      </c>
      <c r="F67" s="920">
        <v>127228</v>
      </c>
      <c r="G67" s="920">
        <v>0</v>
      </c>
      <c r="H67" s="920">
        <v>0</v>
      </c>
      <c r="I67" s="920">
        <v>0</v>
      </c>
      <c r="J67" s="921" t="str">
        <f>B67</f>
        <v>Opening Balance (Other)</v>
      </c>
      <c r="K67" s="921">
        <f>SUM(C67:I67)</f>
        <v>2544583</v>
      </c>
      <c r="M67" s="519"/>
    </row>
    <row r="68" spans="1:13" s="37" customFormat="1" hidden="1" x14ac:dyDescent="0.2">
      <c r="A68" s="45"/>
      <c r="B68" s="37" t="s">
        <v>305</v>
      </c>
      <c r="C68" s="920">
        <v>0</v>
      </c>
      <c r="D68" s="920">
        <v>0</v>
      </c>
      <c r="E68" s="920">
        <v>0</v>
      </c>
      <c r="F68" s="920">
        <v>0</v>
      </c>
      <c r="G68" s="920">
        <v>0</v>
      </c>
      <c r="H68" s="920">
        <v>0</v>
      </c>
      <c r="I68" s="920">
        <v>0</v>
      </c>
      <c r="J68" s="921" t="str">
        <f>B68</f>
        <v>Reverted to State</v>
      </c>
      <c r="K68" s="921">
        <f>SUM(C68:I68)</f>
        <v>0</v>
      </c>
      <c r="M68" s="519"/>
    </row>
    <row r="69" spans="1:13" hidden="1" x14ac:dyDescent="0.2">
      <c r="C69" s="916"/>
      <c r="D69" s="916"/>
      <c r="E69" s="916"/>
      <c r="F69" s="916"/>
      <c r="G69" s="916"/>
      <c r="H69" s="916"/>
      <c r="I69" s="916"/>
      <c r="J69" s="908"/>
      <c r="K69" s="908"/>
    </row>
    <row r="70" spans="1:13" s="2" customFormat="1" x14ac:dyDescent="0.2">
      <c r="B70" s="39" t="s">
        <v>129</v>
      </c>
      <c r="C70" s="931">
        <f>SUM(C64:C69)</f>
        <v>2417355</v>
      </c>
      <c r="D70" s="931">
        <f t="shared" ref="D70:I70" si="12">SUM(D64:D69)</f>
        <v>0</v>
      </c>
      <c r="E70" s="931">
        <f t="shared" si="12"/>
        <v>0</v>
      </c>
      <c r="F70" s="931">
        <f t="shared" si="12"/>
        <v>127228</v>
      </c>
      <c r="G70" s="931">
        <f t="shared" si="12"/>
        <v>18463</v>
      </c>
      <c r="H70" s="931">
        <f t="shared" si="12"/>
        <v>15740</v>
      </c>
      <c r="I70" s="931">
        <f t="shared" si="12"/>
        <v>284472</v>
      </c>
      <c r="J70" s="931">
        <f>SUM(C70:I70)</f>
        <v>2863258</v>
      </c>
      <c r="K70" s="903"/>
      <c r="M70" s="53"/>
    </row>
    <row r="72" spans="1:13" x14ac:dyDescent="0.2">
      <c r="A72" s="22"/>
      <c r="B72" s="23" t="s">
        <v>306</v>
      </c>
      <c r="C72" s="24">
        <f>SUM(C70,C63)</f>
        <v>4568335</v>
      </c>
      <c r="D72" s="24">
        <f t="shared" ref="D72:I72" si="13">SUM(D70,D63)</f>
        <v>212301</v>
      </c>
      <c r="E72" s="24">
        <f t="shared" si="13"/>
        <v>66145</v>
      </c>
      <c r="F72" s="24">
        <f t="shared" si="13"/>
        <v>127728</v>
      </c>
      <c r="G72" s="24">
        <f t="shared" si="13"/>
        <v>119421</v>
      </c>
      <c r="H72" s="24">
        <f t="shared" si="13"/>
        <v>78124</v>
      </c>
      <c r="I72" s="24">
        <f t="shared" si="13"/>
        <v>320097</v>
      </c>
      <c r="J72" s="25">
        <f>SUM(C72:I72)</f>
        <v>5492151</v>
      </c>
      <c r="K72" s="26">
        <f>F1-J72</f>
        <v>0</v>
      </c>
      <c r="L72" s="17"/>
    </row>
    <row r="73" spans="1:13" s="2" customFormat="1" x14ac:dyDescent="0.2">
      <c r="A73" s="27"/>
      <c r="B73" s="28" t="s">
        <v>131</v>
      </c>
      <c r="C73" s="285">
        <f t="shared" ref="C73:I73" si="14">SUM(C77:C212)</f>
        <v>4568335</v>
      </c>
      <c r="D73" s="285">
        <f t="shared" si="14"/>
        <v>212301</v>
      </c>
      <c r="E73" s="285">
        <f t="shared" si="14"/>
        <v>66145</v>
      </c>
      <c r="F73" s="285">
        <f t="shared" si="14"/>
        <v>127728</v>
      </c>
      <c r="G73" s="285">
        <f t="shared" si="14"/>
        <v>119421</v>
      </c>
      <c r="H73" s="285">
        <f t="shared" si="14"/>
        <v>78124</v>
      </c>
      <c r="I73" s="285">
        <f t="shared" si="14"/>
        <v>320097</v>
      </c>
      <c r="J73" s="29">
        <f>SUM(C73:I73)</f>
        <v>5492151</v>
      </c>
      <c r="M73" s="53"/>
    </row>
    <row r="74" spans="1:13" x14ac:dyDescent="0.2">
      <c r="A74" s="30"/>
      <c r="B74" s="286" t="s">
        <v>132</v>
      </c>
      <c r="C74" s="287">
        <f t="shared" ref="C74:J74" si="15">C72-C73</f>
        <v>0</v>
      </c>
      <c r="D74" s="287">
        <f t="shared" si="15"/>
        <v>0</v>
      </c>
      <c r="E74" s="287">
        <f t="shared" si="15"/>
        <v>0</v>
      </c>
      <c r="F74" s="287">
        <f t="shared" si="15"/>
        <v>0</v>
      </c>
      <c r="G74" s="287">
        <f t="shared" si="15"/>
        <v>0</v>
      </c>
      <c r="H74" s="287">
        <f t="shared" si="15"/>
        <v>0</v>
      </c>
      <c r="I74" s="287">
        <f t="shared" si="15"/>
        <v>0</v>
      </c>
      <c r="J74" s="29">
        <f t="shared" si="15"/>
        <v>0</v>
      </c>
    </row>
    <row r="76" spans="1:13" x14ac:dyDescent="0.2">
      <c r="B76" s="2" t="s">
        <v>307</v>
      </c>
    </row>
    <row r="77" spans="1:13" x14ac:dyDescent="0.2">
      <c r="A77" s="2">
        <v>100</v>
      </c>
      <c r="B77" t="s">
        <v>134</v>
      </c>
      <c r="C77" s="916">
        <v>1125792</v>
      </c>
      <c r="D77" s="916">
        <v>86149</v>
      </c>
      <c r="E77" s="916">
        <v>31692</v>
      </c>
      <c r="F77" s="916">
        <v>0</v>
      </c>
      <c r="G77" s="916">
        <v>0</v>
      </c>
      <c r="H77" s="916">
        <v>0</v>
      </c>
      <c r="I77" s="916">
        <v>0</v>
      </c>
      <c r="J77" s="916">
        <f t="shared" ref="J77:J121" si="16">SUM(C77:I77)</f>
        <v>1243633</v>
      </c>
    </row>
    <row r="78" spans="1:13" x14ac:dyDescent="0.2">
      <c r="A78" s="2">
        <v>200</v>
      </c>
      <c r="B78" t="s">
        <v>135</v>
      </c>
      <c r="C78" s="916">
        <v>0</v>
      </c>
      <c r="D78" s="916">
        <v>0</v>
      </c>
      <c r="E78" s="916">
        <v>29953</v>
      </c>
      <c r="F78" s="916">
        <v>0</v>
      </c>
      <c r="G78" s="916">
        <v>116958</v>
      </c>
      <c r="H78" s="916">
        <v>0</v>
      </c>
      <c r="I78" s="916">
        <v>0</v>
      </c>
      <c r="J78" s="916">
        <f t="shared" si="16"/>
        <v>146911</v>
      </c>
    </row>
    <row r="79" spans="1:13" hidden="1" x14ac:dyDescent="0.2">
      <c r="A79" s="2" t="s">
        <v>10</v>
      </c>
      <c r="B79" t="s">
        <v>136</v>
      </c>
      <c r="C79" s="916">
        <v>0</v>
      </c>
      <c r="D79" s="916">
        <v>0</v>
      </c>
      <c r="E79" s="916">
        <v>0</v>
      </c>
      <c r="F79" s="916">
        <v>0</v>
      </c>
      <c r="G79" s="916">
        <v>0</v>
      </c>
      <c r="H79" s="916">
        <v>0</v>
      </c>
      <c r="I79" s="916">
        <v>0</v>
      </c>
      <c r="J79" s="916">
        <f t="shared" si="16"/>
        <v>0</v>
      </c>
    </row>
    <row r="80" spans="1:13" hidden="1" x14ac:dyDescent="0.2">
      <c r="A80" s="2">
        <v>270</v>
      </c>
      <c r="B80" t="s">
        <v>137</v>
      </c>
      <c r="C80" s="916">
        <v>0</v>
      </c>
      <c r="D80" s="916">
        <v>0</v>
      </c>
      <c r="E80" s="916">
        <v>0</v>
      </c>
      <c r="F80" s="916">
        <v>0</v>
      </c>
      <c r="G80" s="916">
        <v>0</v>
      </c>
      <c r="H80" s="916">
        <v>0</v>
      </c>
      <c r="I80" s="916">
        <v>0</v>
      </c>
      <c r="J80" s="916">
        <f t="shared" si="16"/>
        <v>0</v>
      </c>
    </row>
    <row r="81" spans="1:10" hidden="1" x14ac:dyDescent="0.2">
      <c r="A81" s="2" t="s">
        <v>10</v>
      </c>
      <c r="B81" t="s">
        <v>138</v>
      </c>
      <c r="C81" s="916">
        <v>0</v>
      </c>
      <c r="D81" s="916">
        <v>0</v>
      </c>
      <c r="E81" s="916">
        <v>0</v>
      </c>
      <c r="F81" s="916">
        <v>0</v>
      </c>
      <c r="G81" s="916">
        <v>0</v>
      </c>
      <c r="H81" s="916">
        <v>0</v>
      </c>
      <c r="I81" s="916">
        <v>0</v>
      </c>
      <c r="J81" s="916">
        <f t="shared" si="16"/>
        <v>0</v>
      </c>
    </row>
    <row r="82" spans="1:10" hidden="1" x14ac:dyDescent="0.2">
      <c r="A82" s="2">
        <v>300</v>
      </c>
      <c r="B82" t="s">
        <v>139</v>
      </c>
      <c r="C82" s="916">
        <v>0</v>
      </c>
      <c r="D82" s="916">
        <v>0</v>
      </c>
      <c r="E82" s="916">
        <v>0</v>
      </c>
      <c r="F82" s="916">
        <v>0</v>
      </c>
      <c r="G82" s="916">
        <v>0</v>
      </c>
      <c r="H82" s="916">
        <v>0</v>
      </c>
      <c r="I82" s="916">
        <v>0</v>
      </c>
      <c r="J82" s="916">
        <f t="shared" si="16"/>
        <v>0</v>
      </c>
    </row>
    <row r="83" spans="1:10" hidden="1" x14ac:dyDescent="0.2">
      <c r="A83" s="2">
        <v>400</v>
      </c>
      <c r="B83" t="s">
        <v>140</v>
      </c>
      <c r="C83" s="916">
        <v>0</v>
      </c>
      <c r="D83" s="916">
        <v>0</v>
      </c>
      <c r="E83" s="916">
        <v>0</v>
      </c>
      <c r="F83" s="916">
        <v>0</v>
      </c>
      <c r="G83" s="916">
        <v>0</v>
      </c>
      <c r="H83" s="916">
        <v>0</v>
      </c>
      <c r="I83" s="916">
        <v>0</v>
      </c>
      <c r="J83" s="916">
        <f t="shared" si="16"/>
        <v>0</v>
      </c>
    </row>
    <row r="84" spans="1:10" hidden="1" x14ac:dyDescent="0.2">
      <c r="A84" s="2" t="s">
        <v>10</v>
      </c>
      <c r="B84" t="s">
        <v>141</v>
      </c>
      <c r="C84" s="916">
        <v>0</v>
      </c>
      <c r="D84" s="916">
        <v>0</v>
      </c>
      <c r="E84" s="916">
        <v>0</v>
      </c>
      <c r="F84" s="916">
        <v>0</v>
      </c>
      <c r="G84" s="916">
        <v>0</v>
      </c>
      <c r="H84" s="916">
        <v>0</v>
      </c>
      <c r="I84" s="916">
        <v>0</v>
      </c>
      <c r="J84" s="916">
        <f t="shared" si="16"/>
        <v>0</v>
      </c>
    </row>
    <row r="85" spans="1:10" hidden="1" x14ac:dyDescent="0.2">
      <c r="A85" s="2" t="s">
        <v>10</v>
      </c>
      <c r="B85" t="s">
        <v>142</v>
      </c>
      <c r="C85" s="916">
        <v>0</v>
      </c>
      <c r="D85" s="916">
        <v>0</v>
      </c>
      <c r="E85" s="916">
        <v>0</v>
      </c>
      <c r="F85" s="916">
        <v>0</v>
      </c>
      <c r="G85" s="916">
        <v>0</v>
      </c>
      <c r="H85" s="916">
        <v>0</v>
      </c>
      <c r="I85" s="916">
        <v>0</v>
      </c>
      <c r="J85" s="916">
        <f t="shared" si="16"/>
        <v>0</v>
      </c>
    </row>
    <row r="86" spans="1:10" hidden="1" x14ac:dyDescent="0.2">
      <c r="A86" s="2">
        <v>430</v>
      </c>
      <c r="B86" s="3" t="s">
        <v>548</v>
      </c>
      <c r="C86" s="916">
        <v>0</v>
      </c>
      <c r="D86" s="916">
        <v>0</v>
      </c>
      <c r="E86" s="916">
        <v>0</v>
      </c>
      <c r="F86" s="916">
        <v>0</v>
      </c>
      <c r="G86" s="916">
        <v>0</v>
      </c>
      <c r="H86" s="916">
        <v>0</v>
      </c>
      <c r="I86" s="916">
        <v>0</v>
      </c>
      <c r="J86" s="916">
        <f t="shared" si="16"/>
        <v>0</v>
      </c>
    </row>
    <row r="87" spans="1:10" hidden="1" x14ac:dyDescent="0.2">
      <c r="A87" s="2">
        <v>440</v>
      </c>
      <c r="B87" t="s">
        <v>143</v>
      </c>
      <c r="C87" s="916">
        <v>0</v>
      </c>
      <c r="D87" s="916">
        <v>0</v>
      </c>
      <c r="E87" s="916">
        <v>0</v>
      </c>
      <c r="F87" s="916">
        <v>0</v>
      </c>
      <c r="G87" s="916">
        <v>0</v>
      </c>
      <c r="H87" s="916">
        <v>0</v>
      </c>
      <c r="I87" s="916">
        <v>0</v>
      </c>
      <c r="J87" s="916">
        <f t="shared" si="16"/>
        <v>0</v>
      </c>
    </row>
    <row r="88" spans="1:10" hidden="1" x14ac:dyDescent="0.2">
      <c r="A88" s="2">
        <v>500</v>
      </c>
      <c r="B88" t="s">
        <v>144</v>
      </c>
      <c r="C88" s="916">
        <v>0</v>
      </c>
      <c r="D88" s="916">
        <v>0</v>
      </c>
      <c r="E88" s="916">
        <v>0</v>
      </c>
      <c r="F88" s="916">
        <v>0</v>
      </c>
      <c r="G88" s="916">
        <v>0</v>
      </c>
      <c r="H88" s="916">
        <v>0</v>
      </c>
      <c r="I88" s="916">
        <v>0</v>
      </c>
      <c r="J88" s="916">
        <f t="shared" si="16"/>
        <v>0</v>
      </c>
    </row>
    <row r="89" spans="1:10" hidden="1" x14ac:dyDescent="0.2">
      <c r="A89" s="2">
        <v>600</v>
      </c>
      <c r="B89" t="s">
        <v>145</v>
      </c>
      <c r="C89" s="916">
        <v>0</v>
      </c>
      <c r="D89" s="916">
        <v>0</v>
      </c>
      <c r="E89" s="916">
        <v>0</v>
      </c>
      <c r="F89" s="916">
        <v>0</v>
      </c>
      <c r="G89" s="916">
        <v>0</v>
      </c>
      <c r="H89" s="916">
        <v>0</v>
      </c>
      <c r="I89" s="916">
        <v>0</v>
      </c>
      <c r="J89" s="916">
        <f t="shared" si="16"/>
        <v>0</v>
      </c>
    </row>
    <row r="90" spans="1:10" hidden="1" x14ac:dyDescent="0.2">
      <c r="A90" s="2">
        <v>800</v>
      </c>
      <c r="B90" t="s">
        <v>146</v>
      </c>
      <c r="C90" s="916">
        <v>0</v>
      </c>
      <c r="D90" s="916">
        <v>0</v>
      </c>
      <c r="E90" s="916">
        <v>0</v>
      </c>
      <c r="F90" s="916">
        <v>0</v>
      </c>
      <c r="G90" s="916">
        <v>0</v>
      </c>
      <c r="H90" s="916">
        <v>0</v>
      </c>
      <c r="I90" s="916">
        <v>0</v>
      </c>
      <c r="J90" s="916">
        <f t="shared" si="16"/>
        <v>0</v>
      </c>
    </row>
    <row r="91" spans="1:10" x14ac:dyDescent="0.2">
      <c r="A91" s="2">
        <v>910</v>
      </c>
      <c r="B91" t="s">
        <v>147</v>
      </c>
      <c r="C91" s="916">
        <v>35767</v>
      </c>
      <c r="D91" s="916">
        <v>0</v>
      </c>
      <c r="E91" s="916">
        <v>0</v>
      </c>
      <c r="F91" s="916">
        <v>0</v>
      </c>
      <c r="G91" s="916">
        <v>0</v>
      </c>
      <c r="H91" s="916">
        <v>0</v>
      </c>
      <c r="I91" s="916">
        <v>0</v>
      </c>
      <c r="J91" s="916">
        <f t="shared" si="16"/>
        <v>35767</v>
      </c>
    </row>
    <row r="92" spans="1:10" x14ac:dyDescent="0.2">
      <c r="A92" s="2">
        <v>920</v>
      </c>
      <c r="B92" t="s">
        <v>148</v>
      </c>
      <c r="C92" s="916">
        <v>3269</v>
      </c>
      <c r="D92" s="916">
        <v>0</v>
      </c>
      <c r="E92" s="916">
        <v>0</v>
      </c>
      <c r="F92" s="916">
        <v>0</v>
      </c>
      <c r="G92" s="916">
        <v>0</v>
      </c>
      <c r="H92" s="916">
        <v>0</v>
      </c>
      <c r="I92" s="916">
        <v>0</v>
      </c>
      <c r="J92" s="916">
        <f t="shared" si="16"/>
        <v>3269</v>
      </c>
    </row>
    <row r="93" spans="1:10" x14ac:dyDescent="0.2">
      <c r="C93" s="916"/>
      <c r="D93" s="916"/>
      <c r="E93" s="916"/>
      <c r="F93" s="916"/>
      <c r="G93" s="916"/>
      <c r="H93" s="916"/>
      <c r="I93" s="916"/>
      <c r="J93" s="916">
        <f t="shared" si="16"/>
        <v>0</v>
      </c>
    </row>
    <row r="94" spans="1:10" x14ac:dyDescent="0.2">
      <c r="A94" s="2" t="s">
        <v>149</v>
      </c>
      <c r="B94" s="2" t="s">
        <v>150</v>
      </c>
      <c r="C94" s="916"/>
      <c r="D94" s="916"/>
      <c r="E94" s="916"/>
      <c r="F94" s="916"/>
      <c r="G94" s="916"/>
      <c r="H94" s="916"/>
      <c r="I94" s="916"/>
      <c r="J94" s="916">
        <f t="shared" si="16"/>
        <v>0</v>
      </c>
    </row>
    <row r="95" spans="1:10" x14ac:dyDescent="0.2">
      <c r="A95" s="2">
        <v>2100</v>
      </c>
      <c r="B95" t="s">
        <v>151</v>
      </c>
      <c r="C95" s="916">
        <v>0</v>
      </c>
      <c r="D95" s="916">
        <v>108152</v>
      </c>
      <c r="E95" s="916">
        <v>4500</v>
      </c>
      <c r="F95" s="916">
        <v>0</v>
      </c>
      <c r="G95" s="916">
        <v>0</v>
      </c>
      <c r="H95" s="916">
        <v>0</v>
      </c>
      <c r="I95" s="916">
        <v>0</v>
      </c>
      <c r="J95" s="916">
        <f t="shared" si="16"/>
        <v>112652</v>
      </c>
    </row>
    <row r="96" spans="1:10" customFormat="1" x14ac:dyDescent="0.2">
      <c r="A96" s="2">
        <v>2200</v>
      </c>
      <c r="B96" t="s">
        <v>152</v>
      </c>
      <c r="C96" s="916">
        <v>0</v>
      </c>
      <c r="D96" s="916">
        <v>18000</v>
      </c>
      <c r="E96" s="916">
        <v>0</v>
      </c>
      <c r="F96" s="916">
        <v>0</v>
      </c>
      <c r="G96" s="916">
        <v>0</v>
      </c>
      <c r="H96" s="916">
        <v>0</v>
      </c>
      <c r="I96" s="916">
        <v>0</v>
      </c>
      <c r="J96" s="916">
        <f t="shared" si="16"/>
        <v>18000</v>
      </c>
    </row>
    <row r="97" spans="1:13" x14ac:dyDescent="0.2">
      <c r="A97" s="2">
        <v>2300</v>
      </c>
      <c r="B97" t="s">
        <v>153</v>
      </c>
      <c r="C97" s="916">
        <v>256651</v>
      </c>
      <c r="D97" s="916">
        <v>0</v>
      </c>
      <c r="E97" s="916">
        <v>0</v>
      </c>
      <c r="F97" s="916">
        <v>0</v>
      </c>
      <c r="G97" s="916">
        <v>0</v>
      </c>
      <c r="H97" s="916">
        <v>0</v>
      </c>
      <c r="I97" s="916">
        <v>0</v>
      </c>
      <c r="J97" s="916">
        <f t="shared" si="16"/>
        <v>256651</v>
      </c>
      <c r="M97"/>
    </row>
    <row r="98" spans="1:13" hidden="1" x14ac:dyDescent="0.2">
      <c r="A98" s="2">
        <v>2400</v>
      </c>
      <c r="B98" t="s">
        <v>154</v>
      </c>
      <c r="C98" s="916">
        <v>0</v>
      </c>
      <c r="D98" s="916">
        <v>0</v>
      </c>
      <c r="E98" s="916">
        <v>0</v>
      </c>
      <c r="F98" s="916">
        <v>0</v>
      </c>
      <c r="G98" s="916">
        <v>0</v>
      </c>
      <c r="H98" s="916">
        <v>0</v>
      </c>
      <c r="I98" s="916">
        <v>0</v>
      </c>
      <c r="J98" s="916">
        <f t="shared" si="16"/>
        <v>0</v>
      </c>
      <c r="M98"/>
    </row>
    <row r="99" spans="1:13" x14ac:dyDescent="0.2">
      <c r="A99" s="2">
        <v>2500</v>
      </c>
      <c r="B99" t="s">
        <v>155</v>
      </c>
      <c r="C99" s="916">
        <v>363232</v>
      </c>
      <c r="D99" s="916">
        <v>0</v>
      </c>
      <c r="E99" s="916">
        <v>0</v>
      </c>
      <c r="F99" s="916">
        <v>0</v>
      </c>
      <c r="G99" s="916">
        <v>0</v>
      </c>
      <c r="H99" s="916">
        <v>0</v>
      </c>
      <c r="I99" s="916">
        <v>0</v>
      </c>
      <c r="J99" s="916">
        <f t="shared" si="16"/>
        <v>363232</v>
      </c>
    </row>
    <row r="100" spans="1:13" x14ac:dyDescent="0.2">
      <c r="A100" s="2">
        <v>2600</v>
      </c>
      <c r="B100" t="s">
        <v>156</v>
      </c>
      <c r="C100" s="916">
        <v>411699</v>
      </c>
      <c r="D100" s="916">
        <v>0</v>
      </c>
      <c r="E100" s="916">
        <v>0</v>
      </c>
      <c r="F100" s="916">
        <v>0</v>
      </c>
      <c r="G100" s="916">
        <v>0</v>
      </c>
      <c r="H100" s="916">
        <v>0</v>
      </c>
      <c r="I100" s="916">
        <v>10000</v>
      </c>
      <c r="J100" s="916">
        <f t="shared" si="16"/>
        <v>421699</v>
      </c>
    </row>
    <row r="101" spans="1:13" x14ac:dyDescent="0.2">
      <c r="A101" s="2">
        <v>2700</v>
      </c>
      <c r="B101" t="s">
        <v>157</v>
      </c>
      <c r="C101" s="916">
        <v>428384</v>
      </c>
      <c r="D101" s="916">
        <v>0</v>
      </c>
      <c r="E101" s="916">
        <v>0</v>
      </c>
      <c r="F101" s="916">
        <v>0</v>
      </c>
      <c r="G101" s="916">
        <v>0</v>
      </c>
      <c r="H101" s="916">
        <v>0</v>
      </c>
      <c r="I101" s="916">
        <v>0</v>
      </c>
      <c r="J101" s="916">
        <f t="shared" si="16"/>
        <v>428384</v>
      </c>
    </row>
    <row r="102" spans="1:13" hidden="1" x14ac:dyDescent="0.2">
      <c r="A102" s="2">
        <v>2900</v>
      </c>
      <c r="B102" t="s">
        <v>158</v>
      </c>
      <c r="C102" s="916">
        <v>0</v>
      </c>
      <c r="D102" s="916">
        <v>0</v>
      </c>
      <c r="E102" s="916">
        <v>0</v>
      </c>
      <c r="F102" s="916">
        <v>0</v>
      </c>
      <c r="G102" s="916">
        <v>0</v>
      </c>
      <c r="H102" s="916">
        <v>0</v>
      </c>
      <c r="I102" s="916">
        <v>0</v>
      </c>
      <c r="J102" s="916">
        <f t="shared" si="16"/>
        <v>0</v>
      </c>
    </row>
    <row r="103" spans="1:13" hidden="1" x14ac:dyDescent="0.2">
      <c r="A103" s="2">
        <v>3000</v>
      </c>
      <c r="B103" t="s">
        <v>159</v>
      </c>
      <c r="C103" s="916">
        <v>0</v>
      </c>
      <c r="D103" s="916">
        <v>0</v>
      </c>
      <c r="E103" s="916">
        <v>0</v>
      </c>
      <c r="F103" s="916">
        <v>0</v>
      </c>
      <c r="G103" s="916">
        <v>0</v>
      </c>
      <c r="H103" s="916">
        <v>0</v>
      </c>
      <c r="I103" s="916">
        <v>0</v>
      </c>
      <c r="J103" s="916">
        <f t="shared" si="16"/>
        <v>0</v>
      </c>
    </row>
    <row r="104" spans="1:13" x14ac:dyDescent="0.2">
      <c r="A104" s="2">
        <v>3100</v>
      </c>
      <c r="B104" t="s">
        <v>160</v>
      </c>
      <c r="C104" s="916">
        <v>0</v>
      </c>
      <c r="D104" s="916">
        <v>0</v>
      </c>
      <c r="E104" s="916">
        <v>0</v>
      </c>
      <c r="F104" s="916">
        <v>0</v>
      </c>
      <c r="G104" s="916">
        <v>0</v>
      </c>
      <c r="H104" s="916">
        <v>75384</v>
      </c>
      <c r="I104" s="916">
        <v>0</v>
      </c>
      <c r="J104" s="916">
        <f t="shared" si="16"/>
        <v>75384</v>
      </c>
    </row>
    <row r="105" spans="1:13" hidden="1" x14ac:dyDescent="0.2">
      <c r="A105" s="2">
        <v>3200</v>
      </c>
      <c r="B105" t="s">
        <v>161</v>
      </c>
      <c r="C105" s="916">
        <v>0</v>
      </c>
      <c r="D105" s="916">
        <v>0</v>
      </c>
      <c r="E105" s="916">
        <v>0</v>
      </c>
      <c r="F105" s="916">
        <v>0</v>
      </c>
      <c r="G105" s="916">
        <v>0</v>
      </c>
      <c r="H105" s="916">
        <v>0</v>
      </c>
      <c r="I105" s="916">
        <v>0</v>
      </c>
      <c r="J105" s="916">
        <f t="shared" si="16"/>
        <v>0</v>
      </c>
    </row>
    <row r="106" spans="1:13" hidden="1" x14ac:dyDescent="0.2">
      <c r="A106" s="2">
        <v>3300</v>
      </c>
      <c r="B106" t="s">
        <v>162</v>
      </c>
      <c r="C106" s="916">
        <v>0</v>
      </c>
      <c r="D106" s="916">
        <v>0</v>
      </c>
      <c r="E106" s="916">
        <v>0</v>
      </c>
      <c r="F106" s="916">
        <v>0</v>
      </c>
      <c r="G106" s="916">
        <v>0</v>
      </c>
      <c r="H106" s="916">
        <v>0</v>
      </c>
      <c r="I106" s="916">
        <v>0</v>
      </c>
      <c r="J106" s="916">
        <f t="shared" si="16"/>
        <v>0</v>
      </c>
    </row>
    <row r="107" spans="1:13" hidden="1" x14ac:dyDescent="0.2">
      <c r="A107" s="2">
        <v>4000</v>
      </c>
      <c r="B107" t="s">
        <v>164</v>
      </c>
      <c r="C107" s="916">
        <v>0</v>
      </c>
      <c r="D107" s="916">
        <v>0</v>
      </c>
      <c r="E107" s="916">
        <v>0</v>
      </c>
      <c r="F107" s="916">
        <v>0</v>
      </c>
      <c r="G107" s="916">
        <v>0</v>
      </c>
      <c r="H107" s="916">
        <v>0</v>
      </c>
      <c r="I107" s="916">
        <v>0</v>
      </c>
      <c r="J107" s="916">
        <f t="shared" si="16"/>
        <v>0</v>
      </c>
    </row>
    <row r="108" spans="1:13" hidden="1" x14ac:dyDescent="0.2">
      <c r="A108" s="2">
        <v>4100</v>
      </c>
      <c r="B108" t="s">
        <v>163</v>
      </c>
      <c r="C108" s="916">
        <v>0</v>
      </c>
      <c r="D108" s="916">
        <v>0</v>
      </c>
      <c r="E108" s="916">
        <v>0</v>
      </c>
      <c r="F108" s="916">
        <v>0</v>
      </c>
      <c r="G108" s="916">
        <v>0</v>
      </c>
      <c r="H108" s="916">
        <v>0</v>
      </c>
      <c r="I108" s="916">
        <v>0</v>
      </c>
      <c r="J108" s="916">
        <f t="shared" si="16"/>
        <v>0</v>
      </c>
    </row>
    <row r="109" spans="1:13" hidden="1" x14ac:dyDescent="0.2">
      <c r="A109" s="2">
        <v>4200</v>
      </c>
      <c r="B109" t="s">
        <v>165</v>
      </c>
      <c r="C109" s="916">
        <v>0</v>
      </c>
      <c r="D109" s="916">
        <v>0</v>
      </c>
      <c r="E109" s="916">
        <v>0</v>
      </c>
      <c r="F109" s="916">
        <v>0</v>
      </c>
      <c r="G109" s="916">
        <v>0</v>
      </c>
      <c r="H109" s="916">
        <v>0</v>
      </c>
      <c r="I109" s="916">
        <v>0</v>
      </c>
      <c r="J109" s="916">
        <f t="shared" si="16"/>
        <v>0</v>
      </c>
    </row>
    <row r="110" spans="1:13" hidden="1" x14ac:dyDescent="0.2">
      <c r="A110" s="2">
        <v>4300</v>
      </c>
      <c r="B110" t="s">
        <v>166</v>
      </c>
      <c r="C110" s="916">
        <v>0</v>
      </c>
      <c r="D110" s="916">
        <v>0</v>
      </c>
      <c r="E110" s="916">
        <v>0</v>
      </c>
      <c r="F110" s="916">
        <v>0</v>
      </c>
      <c r="G110" s="916">
        <v>0</v>
      </c>
      <c r="H110" s="916">
        <v>0</v>
      </c>
      <c r="I110" s="916">
        <v>0</v>
      </c>
      <c r="J110" s="916">
        <f t="shared" si="16"/>
        <v>0</v>
      </c>
    </row>
    <row r="111" spans="1:13" hidden="1" x14ac:dyDescent="0.2">
      <c r="A111" s="2">
        <v>4400</v>
      </c>
      <c r="B111" t="s">
        <v>167</v>
      </c>
      <c r="C111" s="916">
        <v>0</v>
      </c>
      <c r="D111" s="916">
        <v>0</v>
      </c>
      <c r="E111" s="916">
        <v>0</v>
      </c>
      <c r="F111" s="916">
        <v>0</v>
      </c>
      <c r="G111" s="916">
        <v>0</v>
      </c>
      <c r="H111" s="916">
        <v>0</v>
      </c>
      <c r="I111" s="916">
        <v>0</v>
      </c>
      <c r="J111" s="916">
        <f t="shared" si="16"/>
        <v>0</v>
      </c>
    </row>
    <row r="112" spans="1:13" x14ac:dyDescent="0.2">
      <c r="A112" s="2">
        <v>4500</v>
      </c>
      <c r="B112" t="s">
        <v>168</v>
      </c>
      <c r="C112" s="916">
        <v>0</v>
      </c>
      <c r="D112" s="916">
        <v>0</v>
      </c>
      <c r="E112" s="916">
        <v>0</v>
      </c>
      <c r="F112" s="916">
        <v>0</v>
      </c>
      <c r="G112" s="916">
        <v>0</v>
      </c>
      <c r="H112" s="916">
        <v>0</v>
      </c>
      <c r="I112" s="916">
        <v>23000</v>
      </c>
      <c r="J112" s="916">
        <f t="shared" si="16"/>
        <v>23000</v>
      </c>
    </row>
    <row r="113" spans="1:13" x14ac:dyDescent="0.2">
      <c r="A113" s="2">
        <v>4600</v>
      </c>
      <c r="B113" t="s">
        <v>169</v>
      </c>
      <c r="C113" s="916">
        <v>0</v>
      </c>
      <c r="D113" s="916">
        <v>0</v>
      </c>
      <c r="E113" s="916">
        <v>0</v>
      </c>
      <c r="F113" s="916">
        <v>0</v>
      </c>
      <c r="G113" s="916">
        <v>0</v>
      </c>
      <c r="H113" s="916">
        <v>0</v>
      </c>
      <c r="I113" s="916">
        <v>50474</v>
      </c>
      <c r="J113" s="916">
        <f t="shared" si="16"/>
        <v>50474</v>
      </c>
    </row>
    <row r="114" spans="1:13" x14ac:dyDescent="0.2">
      <c r="A114" s="2">
        <v>4700</v>
      </c>
      <c r="B114" t="s">
        <v>170</v>
      </c>
      <c r="C114" s="916">
        <v>0</v>
      </c>
      <c r="D114" s="916">
        <v>0</v>
      </c>
      <c r="E114" s="916">
        <v>0</v>
      </c>
      <c r="F114" s="916">
        <v>0</v>
      </c>
      <c r="G114" s="916">
        <v>0</v>
      </c>
      <c r="H114" s="916">
        <v>0</v>
      </c>
      <c r="I114" s="916">
        <v>200000</v>
      </c>
      <c r="J114" s="916">
        <f t="shared" si="16"/>
        <v>200000</v>
      </c>
    </row>
    <row r="115" spans="1:13" x14ac:dyDescent="0.2">
      <c r="A115" s="2">
        <v>4900</v>
      </c>
      <c r="B115" t="s">
        <v>171</v>
      </c>
      <c r="C115" s="916">
        <v>0</v>
      </c>
      <c r="D115" s="916">
        <v>0</v>
      </c>
      <c r="E115" s="916">
        <v>0</v>
      </c>
      <c r="F115" s="916">
        <v>0</v>
      </c>
      <c r="G115" s="916">
        <v>0</v>
      </c>
      <c r="H115" s="916">
        <v>0</v>
      </c>
      <c r="I115" s="916">
        <v>35526</v>
      </c>
      <c r="J115" s="916">
        <f t="shared" si="16"/>
        <v>35526</v>
      </c>
    </row>
    <row r="116" spans="1:13" hidden="1" x14ac:dyDescent="0.2">
      <c r="A116" s="2">
        <v>5000</v>
      </c>
      <c r="B116" t="s">
        <v>172</v>
      </c>
      <c r="C116" s="916">
        <v>0</v>
      </c>
      <c r="D116" s="916">
        <v>0</v>
      </c>
      <c r="E116" s="916">
        <v>0</v>
      </c>
      <c r="F116" s="916">
        <v>0</v>
      </c>
      <c r="G116" s="916">
        <v>0</v>
      </c>
      <c r="H116" s="916">
        <v>0</v>
      </c>
      <c r="I116" s="916">
        <v>0</v>
      </c>
      <c r="J116" s="916">
        <f t="shared" si="16"/>
        <v>0</v>
      </c>
    </row>
    <row r="117" spans="1:13" hidden="1" x14ac:dyDescent="0.2">
      <c r="A117" s="2">
        <v>5000</v>
      </c>
      <c r="B117" t="s">
        <v>173</v>
      </c>
      <c r="C117" s="916">
        <v>0</v>
      </c>
      <c r="D117" s="916">
        <v>0</v>
      </c>
      <c r="E117" s="916">
        <v>0</v>
      </c>
      <c r="F117" s="916">
        <v>0</v>
      </c>
      <c r="G117" s="916">
        <v>0</v>
      </c>
      <c r="H117" s="916">
        <v>0</v>
      </c>
      <c r="I117" s="916">
        <v>0</v>
      </c>
      <c r="J117" s="916">
        <f t="shared" si="16"/>
        <v>0</v>
      </c>
    </row>
    <row r="118" spans="1:13" hidden="1" x14ac:dyDescent="0.2">
      <c r="A118" s="2">
        <v>6100</v>
      </c>
      <c r="B118" t="s">
        <v>174</v>
      </c>
      <c r="C118" s="916">
        <v>0</v>
      </c>
      <c r="D118" s="916">
        <v>0</v>
      </c>
      <c r="E118" s="916">
        <v>0</v>
      </c>
      <c r="F118" s="916">
        <v>0</v>
      </c>
      <c r="G118" s="916">
        <v>0</v>
      </c>
      <c r="H118" s="916">
        <v>0</v>
      </c>
      <c r="I118" s="916">
        <v>0</v>
      </c>
      <c r="J118" s="916">
        <f t="shared" si="16"/>
        <v>0</v>
      </c>
    </row>
    <row r="119" spans="1:13" x14ac:dyDescent="0.2">
      <c r="A119" s="2">
        <v>6200</v>
      </c>
      <c r="B119" t="s">
        <v>175</v>
      </c>
      <c r="C119" s="916">
        <v>126717</v>
      </c>
      <c r="D119" s="916">
        <v>0</v>
      </c>
      <c r="E119" s="916">
        <v>0</v>
      </c>
      <c r="F119" s="916">
        <v>0</v>
      </c>
      <c r="G119" s="916">
        <v>0</v>
      </c>
      <c r="H119" s="916">
        <v>0</v>
      </c>
      <c r="I119" s="916">
        <v>0</v>
      </c>
      <c r="J119" s="916">
        <f t="shared" si="16"/>
        <v>126717</v>
      </c>
    </row>
    <row r="120" spans="1:13" hidden="1" x14ac:dyDescent="0.2">
      <c r="A120" s="2">
        <v>6300</v>
      </c>
      <c r="B120" t="s">
        <v>176</v>
      </c>
      <c r="C120" s="916">
        <v>0</v>
      </c>
      <c r="D120" s="916">
        <v>0</v>
      </c>
      <c r="E120" s="916">
        <v>0</v>
      </c>
      <c r="F120" s="916">
        <v>0</v>
      </c>
      <c r="G120" s="916">
        <v>0</v>
      </c>
      <c r="H120" s="916">
        <v>0</v>
      </c>
      <c r="I120" s="916">
        <v>0</v>
      </c>
      <c r="J120" s="916">
        <f t="shared" si="16"/>
        <v>0</v>
      </c>
    </row>
    <row r="121" spans="1:13" x14ac:dyDescent="0.2">
      <c r="A121" s="2">
        <v>8000</v>
      </c>
      <c r="B121" t="s">
        <v>177</v>
      </c>
      <c r="C121" s="916">
        <v>1816824</v>
      </c>
      <c r="D121" s="916">
        <v>0</v>
      </c>
      <c r="E121" s="916">
        <v>0</v>
      </c>
      <c r="F121" s="916">
        <v>127728</v>
      </c>
      <c r="G121" s="916">
        <v>2463</v>
      </c>
      <c r="H121" s="916">
        <v>2740</v>
      </c>
      <c r="I121" s="916">
        <v>1097</v>
      </c>
      <c r="J121" s="916">
        <f t="shared" si="16"/>
        <v>1950852</v>
      </c>
    </row>
    <row r="122" spans="1:13" x14ac:dyDescent="0.2">
      <c r="J122" s="12"/>
    </row>
    <row r="123" spans="1:13" s="2" customFormat="1" x14ac:dyDescent="0.2">
      <c r="A123" s="53"/>
      <c r="B123" s="2" t="s">
        <v>308</v>
      </c>
      <c r="C123" s="19"/>
      <c r="D123" s="19"/>
      <c r="E123" s="19"/>
      <c r="F123" s="19"/>
      <c r="G123" s="19"/>
      <c r="H123" s="19"/>
      <c r="I123" s="19"/>
      <c r="J123" s="19"/>
      <c r="M123" s="53"/>
    </row>
    <row r="124" spans="1:13" hidden="1" x14ac:dyDescent="0.2">
      <c r="B124" t="s">
        <v>179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f t="shared" ref="J124:J187" si="17">SUM(C124:I124)</f>
        <v>0</v>
      </c>
    </row>
    <row r="125" spans="1:13" hidden="1" x14ac:dyDescent="0.2">
      <c r="B125" t="s">
        <v>145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f t="shared" si="17"/>
        <v>0</v>
      </c>
    </row>
    <row r="126" spans="1:13" hidden="1" x14ac:dyDescent="0.2">
      <c r="B126" t="s">
        <v>180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f t="shared" si="17"/>
        <v>0</v>
      </c>
    </row>
    <row r="127" spans="1:13" hidden="1" x14ac:dyDescent="0.2">
      <c r="B127" t="s">
        <v>181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f t="shared" si="17"/>
        <v>0</v>
      </c>
    </row>
    <row r="128" spans="1:13" hidden="1" x14ac:dyDescent="0.2">
      <c r="B128" t="s">
        <v>182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f t="shared" si="17"/>
        <v>0</v>
      </c>
    </row>
    <row r="129" spans="2:10" hidden="1" x14ac:dyDescent="0.2">
      <c r="B129" t="s">
        <v>183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f t="shared" si="17"/>
        <v>0</v>
      </c>
    </row>
    <row r="130" spans="2:10" hidden="1" x14ac:dyDescent="0.2">
      <c r="B130" t="s">
        <v>184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f t="shared" si="17"/>
        <v>0</v>
      </c>
    </row>
    <row r="131" spans="2:10" hidden="1" x14ac:dyDescent="0.2">
      <c r="B131" t="s">
        <v>185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f t="shared" si="17"/>
        <v>0</v>
      </c>
    </row>
    <row r="132" spans="2:10" hidden="1" x14ac:dyDescent="0.2">
      <c r="B132" t="s">
        <v>186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f t="shared" si="17"/>
        <v>0</v>
      </c>
    </row>
    <row r="133" spans="2:10" hidden="1" x14ac:dyDescent="0.2">
      <c r="B133" t="s">
        <v>187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f t="shared" si="17"/>
        <v>0</v>
      </c>
    </row>
    <row r="134" spans="2:10" hidden="1" x14ac:dyDescent="0.2">
      <c r="B134" t="s">
        <v>188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f t="shared" si="17"/>
        <v>0</v>
      </c>
    </row>
    <row r="135" spans="2:10" hidden="1" x14ac:dyDescent="0.2">
      <c r="B135" t="s">
        <v>189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f t="shared" si="17"/>
        <v>0</v>
      </c>
    </row>
    <row r="136" spans="2:10" hidden="1" x14ac:dyDescent="0.2">
      <c r="B136" t="s">
        <v>190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f t="shared" si="17"/>
        <v>0</v>
      </c>
    </row>
    <row r="137" spans="2:10" hidden="1" x14ac:dyDescent="0.2">
      <c r="B137" t="s">
        <v>191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f t="shared" si="17"/>
        <v>0</v>
      </c>
    </row>
    <row r="138" spans="2:10" hidden="1" x14ac:dyDescent="0.2">
      <c r="B138" t="s">
        <v>192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f t="shared" si="17"/>
        <v>0</v>
      </c>
    </row>
    <row r="139" spans="2:10" hidden="1" x14ac:dyDescent="0.2">
      <c r="B139" t="s">
        <v>193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f t="shared" si="17"/>
        <v>0</v>
      </c>
    </row>
    <row r="140" spans="2:10" hidden="1" x14ac:dyDescent="0.2">
      <c r="B140" t="s">
        <v>194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f t="shared" si="17"/>
        <v>0</v>
      </c>
    </row>
    <row r="141" spans="2:10" hidden="1" x14ac:dyDescent="0.2">
      <c r="B141" t="s">
        <v>195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f t="shared" si="17"/>
        <v>0</v>
      </c>
    </row>
    <row r="142" spans="2:10" hidden="1" x14ac:dyDescent="0.2">
      <c r="B142" t="s">
        <v>196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f t="shared" si="17"/>
        <v>0</v>
      </c>
    </row>
    <row r="143" spans="2:10" hidden="1" x14ac:dyDescent="0.2">
      <c r="B143" t="s">
        <v>197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f t="shared" si="17"/>
        <v>0</v>
      </c>
    </row>
    <row r="144" spans="2:10" hidden="1" x14ac:dyDescent="0.2">
      <c r="B144" t="s">
        <v>198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f t="shared" si="17"/>
        <v>0</v>
      </c>
    </row>
    <row r="145" spans="2:10" hidden="1" x14ac:dyDescent="0.2">
      <c r="B145" t="s">
        <v>199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f t="shared" si="17"/>
        <v>0</v>
      </c>
    </row>
    <row r="146" spans="2:10" hidden="1" x14ac:dyDescent="0.2">
      <c r="B146" t="s">
        <v>200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f t="shared" si="17"/>
        <v>0</v>
      </c>
    </row>
    <row r="147" spans="2:10" hidden="1" x14ac:dyDescent="0.2">
      <c r="B147" t="s">
        <v>201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f t="shared" si="17"/>
        <v>0</v>
      </c>
    </row>
    <row r="148" spans="2:10" hidden="1" x14ac:dyDescent="0.2">
      <c r="B148" t="s">
        <v>202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f t="shared" si="17"/>
        <v>0</v>
      </c>
    </row>
    <row r="149" spans="2:10" hidden="1" x14ac:dyDescent="0.2">
      <c r="B149" t="s">
        <v>203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f t="shared" si="17"/>
        <v>0</v>
      </c>
    </row>
    <row r="150" spans="2:10" hidden="1" x14ac:dyDescent="0.2">
      <c r="B150" t="s">
        <v>204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f t="shared" si="17"/>
        <v>0</v>
      </c>
    </row>
    <row r="151" spans="2:10" hidden="1" x14ac:dyDescent="0.2">
      <c r="B151" t="s">
        <v>205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f t="shared" si="17"/>
        <v>0</v>
      </c>
    </row>
    <row r="152" spans="2:10" hidden="1" x14ac:dyDescent="0.2">
      <c r="B152" t="s">
        <v>206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f t="shared" si="17"/>
        <v>0</v>
      </c>
    </row>
    <row r="153" spans="2:10" hidden="1" x14ac:dyDescent="0.2">
      <c r="B153" t="s">
        <v>207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f t="shared" si="17"/>
        <v>0</v>
      </c>
    </row>
    <row r="154" spans="2:10" hidden="1" x14ac:dyDescent="0.2">
      <c r="B154" t="s">
        <v>208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f t="shared" si="17"/>
        <v>0</v>
      </c>
    </row>
    <row r="155" spans="2:10" hidden="1" x14ac:dyDescent="0.2">
      <c r="B155" t="s">
        <v>209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f t="shared" si="17"/>
        <v>0</v>
      </c>
    </row>
    <row r="156" spans="2:10" hidden="1" x14ac:dyDescent="0.2">
      <c r="B156" t="s">
        <v>210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f t="shared" si="17"/>
        <v>0</v>
      </c>
    </row>
    <row r="157" spans="2:10" hidden="1" x14ac:dyDescent="0.2">
      <c r="B157" t="s">
        <v>211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f t="shared" si="17"/>
        <v>0</v>
      </c>
    </row>
    <row r="158" spans="2:10" hidden="1" x14ac:dyDescent="0.2">
      <c r="B158" t="s">
        <v>212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f t="shared" si="17"/>
        <v>0</v>
      </c>
    </row>
    <row r="159" spans="2:10" hidden="1" x14ac:dyDescent="0.2">
      <c r="B159" t="s">
        <v>213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f t="shared" si="17"/>
        <v>0</v>
      </c>
    </row>
    <row r="160" spans="2:10" hidden="1" x14ac:dyDescent="0.2">
      <c r="B160" t="s">
        <v>214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f t="shared" si="17"/>
        <v>0</v>
      </c>
    </row>
    <row r="161" spans="1:10" hidden="1" x14ac:dyDescent="0.2">
      <c r="B161" t="s">
        <v>215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f t="shared" si="17"/>
        <v>0</v>
      </c>
    </row>
    <row r="162" spans="1:10" hidden="1" x14ac:dyDescent="0.2">
      <c r="B162" t="s">
        <v>216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f t="shared" si="17"/>
        <v>0</v>
      </c>
    </row>
    <row r="163" spans="1:10" hidden="1" x14ac:dyDescent="0.2">
      <c r="B163" t="s">
        <v>217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f t="shared" si="17"/>
        <v>0</v>
      </c>
    </row>
    <row r="164" spans="1:10" hidden="1" x14ac:dyDescent="0.2">
      <c r="B164" t="s">
        <v>218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f t="shared" si="17"/>
        <v>0</v>
      </c>
    </row>
    <row r="165" spans="1:10" hidden="1" x14ac:dyDescent="0.2">
      <c r="B165" t="s">
        <v>219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f t="shared" si="17"/>
        <v>0</v>
      </c>
    </row>
    <row r="166" spans="1:10" hidden="1" x14ac:dyDescent="0.2">
      <c r="B166" t="s">
        <v>220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f t="shared" si="17"/>
        <v>0</v>
      </c>
    </row>
    <row r="167" spans="1:10" hidden="1" x14ac:dyDescent="0.2">
      <c r="B167" t="s">
        <v>221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f t="shared" si="17"/>
        <v>0</v>
      </c>
    </row>
    <row r="168" spans="1:10" hidden="1" x14ac:dyDescent="0.2">
      <c r="A168" s="2" t="s">
        <v>10</v>
      </c>
      <c r="B168" t="s">
        <v>142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f t="shared" si="17"/>
        <v>0</v>
      </c>
    </row>
    <row r="169" spans="1:10" hidden="1" x14ac:dyDescent="0.2">
      <c r="A169" s="2" t="s">
        <v>10</v>
      </c>
      <c r="B169" t="s">
        <v>141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f t="shared" si="17"/>
        <v>0</v>
      </c>
    </row>
    <row r="170" spans="1:10" hidden="1" x14ac:dyDescent="0.2">
      <c r="A170" s="2" t="s">
        <v>33</v>
      </c>
      <c r="B170" t="s">
        <v>222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f t="shared" si="17"/>
        <v>0</v>
      </c>
    </row>
    <row r="171" spans="1:10" hidden="1" x14ac:dyDescent="0.2">
      <c r="A171" s="2" t="s">
        <v>10</v>
      </c>
      <c r="B171" t="s">
        <v>138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f t="shared" si="17"/>
        <v>0</v>
      </c>
    </row>
    <row r="172" spans="1:10" hidden="1" x14ac:dyDescent="0.2">
      <c r="A172" s="2" t="s">
        <v>10</v>
      </c>
      <c r="B172" t="s">
        <v>136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f t="shared" si="17"/>
        <v>0</v>
      </c>
    </row>
    <row r="173" spans="1:10" hidden="1" x14ac:dyDescent="0.2">
      <c r="B173" t="s">
        <v>223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f t="shared" si="17"/>
        <v>0</v>
      </c>
    </row>
    <row r="174" spans="1:10" hidden="1" x14ac:dyDescent="0.2">
      <c r="B174" t="s">
        <v>224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f t="shared" si="17"/>
        <v>0</v>
      </c>
    </row>
    <row r="175" spans="1:10" hidden="1" x14ac:dyDescent="0.2">
      <c r="B175" t="s">
        <v>225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f t="shared" si="17"/>
        <v>0</v>
      </c>
    </row>
    <row r="176" spans="1:10" hidden="1" x14ac:dyDescent="0.2">
      <c r="B176" t="s">
        <v>226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f t="shared" si="17"/>
        <v>0</v>
      </c>
    </row>
    <row r="177" spans="2:10" hidden="1" x14ac:dyDescent="0.2">
      <c r="B177" t="s">
        <v>227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f t="shared" si="17"/>
        <v>0</v>
      </c>
    </row>
    <row r="178" spans="2:10" hidden="1" x14ac:dyDescent="0.2">
      <c r="B178" t="s">
        <v>228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f t="shared" si="17"/>
        <v>0</v>
      </c>
    </row>
    <row r="179" spans="2:10" hidden="1" x14ac:dyDescent="0.2">
      <c r="B179" t="s">
        <v>229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f t="shared" si="17"/>
        <v>0</v>
      </c>
    </row>
    <row r="180" spans="2:10" hidden="1" x14ac:dyDescent="0.2">
      <c r="B180" t="s">
        <v>230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f t="shared" si="17"/>
        <v>0</v>
      </c>
    </row>
    <row r="181" spans="2:10" hidden="1" x14ac:dyDescent="0.2">
      <c r="B181" t="s">
        <v>231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f t="shared" si="17"/>
        <v>0</v>
      </c>
    </row>
    <row r="182" spans="2:10" hidden="1" x14ac:dyDescent="0.2">
      <c r="B182" t="s">
        <v>232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f t="shared" si="17"/>
        <v>0</v>
      </c>
    </row>
    <row r="183" spans="2:10" hidden="1" x14ac:dyDescent="0.2">
      <c r="B183" t="s">
        <v>233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f t="shared" si="17"/>
        <v>0</v>
      </c>
    </row>
    <row r="184" spans="2:10" hidden="1" x14ac:dyDescent="0.2">
      <c r="B184" t="s">
        <v>234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f t="shared" si="17"/>
        <v>0</v>
      </c>
    </row>
    <row r="185" spans="2:10" hidden="1" x14ac:dyDescent="0.2">
      <c r="B185" t="s">
        <v>9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f t="shared" si="17"/>
        <v>0</v>
      </c>
    </row>
    <row r="186" spans="2:10" hidden="1" x14ac:dyDescent="0.2">
      <c r="B186" s="3" t="s">
        <v>581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f t="shared" si="17"/>
        <v>0</v>
      </c>
    </row>
    <row r="187" spans="2:10" hidden="1" x14ac:dyDescent="0.2">
      <c r="B187" s="3" t="s">
        <v>235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f t="shared" si="17"/>
        <v>0</v>
      </c>
    </row>
    <row r="188" spans="2:10" hidden="1" x14ac:dyDescent="0.2">
      <c r="B188" t="s">
        <v>236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f t="shared" ref="J188:J212" si="18">SUM(C188:I188)</f>
        <v>0</v>
      </c>
    </row>
    <row r="189" spans="2:10" hidden="1" x14ac:dyDescent="0.2">
      <c r="B189" t="s">
        <v>237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f t="shared" si="18"/>
        <v>0</v>
      </c>
    </row>
    <row r="190" spans="2:10" hidden="1" x14ac:dyDescent="0.2">
      <c r="B190" t="s">
        <v>238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f t="shared" si="18"/>
        <v>0</v>
      </c>
    </row>
    <row r="191" spans="2:10" hidden="1" x14ac:dyDescent="0.2">
      <c r="B191" t="s">
        <v>239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f t="shared" si="18"/>
        <v>0</v>
      </c>
    </row>
    <row r="192" spans="2:10" hidden="1" x14ac:dyDescent="0.2">
      <c r="B192" t="s">
        <v>240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f t="shared" si="18"/>
        <v>0</v>
      </c>
    </row>
    <row r="193" spans="2:10" hidden="1" x14ac:dyDescent="0.2">
      <c r="B193" t="s">
        <v>241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f t="shared" si="18"/>
        <v>0</v>
      </c>
    </row>
    <row r="194" spans="2:10" hidden="1" x14ac:dyDescent="0.2">
      <c r="B194" t="s">
        <v>242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f t="shared" si="18"/>
        <v>0</v>
      </c>
    </row>
    <row r="195" spans="2:10" hidden="1" x14ac:dyDescent="0.2">
      <c r="B195" t="s">
        <v>243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f t="shared" si="18"/>
        <v>0</v>
      </c>
    </row>
    <row r="196" spans="2:10" hidden="1" x14ac:dyDescent="0.2">
      <c r="B196" t="s">
        <v>244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f t="shared" si="18"/>
        <v>0</v>
      </c>
    </row>
    <row r="197" spans="2:10" x14ac:dyDescent="0.2">
      <c r="B197" s="2" t="s">
        <v>245</v>
      </c>
      <c r="J197" s="12"/>
    </row>
    <row r="198" spans="2:10" hidden="1" x14ac:dyDescent="0.2">
      <c r="B198" t="s">
        <v>246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f t="shared" si="18"/>
        <v>0</v>
      </c>
    </row>
    <row r="199" spans="2:10" hidden="1" x14ac:dyDescent="0.2">
      <c r="B199" t="s">
        <v>247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f t="shared" si="18"/>
        <v>0</v>
      </c>
    </row>
    <row r="200" spans="2:10" hidden="1" x14ac:dyDescent="0.2">
      <c r="B200" t="s">
        <v>248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f t="shared" si="18"/>
        <v>0</v>
      </c>
    </row>
    <row r="201" spans="2:10" hidden="1" x14ac:dyDescent="0.2">
      <c r="B201" t="s">
        <v>249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f t="shared" si="18"/>
        <v>0</v>
      </c>
    </row>
    <row r="202" spans="2:10" hidden="1" x14ac:dyDescent="0.2">
      <c r="B202" t="s">
        <v>250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f t="shared" si="18"/>
        <v>0</v>
      </c>
    </row>
    <row r="203" spans="2:10" hidden="1" x14ac:dyDescent="0.2">
      <c r="B203" t="s">
        <v>251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f t="shared" si="18"/>
        <v>0</v>
      </c>
    </row>
    <row r="204" spans="2:10" hidden="1" x14ac:dyDescent="0.2">
      <c r="B204" t="s">
        <v>252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f t="shared" si="18"/>
        <v>0</v>
      </c>
    </row>
    <row r="205" spans="2:10" hidden="1" x14ac:dyDescent="0.2">
      <c r="B205" t="s">
        <v>253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f t="shared" si="18"/>
        <v>0</v>
      </c>
    </row>
    <row r="206" spans="2:10" hidden="1" x14ac:dyDescent="0.2">
      <c r="B206" t="s">
        <v>254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f t="shared" si="18"/>
        <v>0</v>
      </c>
    </row>
    <row r="207" spans="2:10" hidden="1" x14ac:dyDescent="0.2">
      <c r="B207" t="s">
        <v>255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f t="shared" si="18"/>
        <v>0</v>
      </c>
    </row>
    <row r="208" spans="2:10" hidden="1" x14ac:dyDescent="0.2">
      <c r="B208" t="s">
        <v>256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f t="shared" si="18"/>
        <v>0</v>
      </c>
    </row>
    <row r="209" spans="2:10" hidden="1" x14ac:dyDescent="0.2">
      <c r="B209" t="s">
        <v>257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f t="shared" si="18"/>
        <v>0</v>
      </c>
    </row>
    <row r="210" spans="2:10" hidden="1" x14ac:dyDescent="0.2">
      <c r="B210" t="s">
        <v>258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f t="shared" si="18"/>
        <v>0</v>
      </c>
    </row>
    <row r="211" spans="2:10" hidden="1" x14ac:dyDescent="0.2">
      <c r="B211" t="s">
        <v>259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f t="shared" si="18"/>
        <v>0</v>
      </c>
    </row>
    <row r="212" spans="2:10" hidden="1" x14ac:dyDescent="0.2">
      <c r="B212" t="s">
        <v>260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f t="shared" si="18"/>
        <v>0</v>
      </c>
    </row>
    <row r="213" spans="2:10" x14ac:dyDescent="0.2">
      <c r="J213" s="12"/>
    </row>
  </sheetData>
  <pageMargins left="0.7" right="0.7" top="0.75" bottom="0.75" header="0.3" footer="0.3"/>
  <pageSetup scale="61" orientation="portrait" r:id="rId1"/>
  <colBreaks count="1" manualBreakCount="1">
    <brk id="6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0E07B-815B-495C-9F21-DF856EE72412}">
  <sheetPr>
    <tabColor rgb="FFFF0000"/>
  </sheetPr>
  <dimension ref="A1:I84"/>
  <sheetViews>
    <sheetView showGridLines="0" zoomScale="80" zoomScaleNormal="8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71" sqref="Q71"/>
    </sheetView>
  </sheetViews>
  <sheetFormatPr defaultColWidth="9.140625" defaultRowHeight="14.25" x14ac:dyDescent="0.2"/>
  <cols>
    <col min="1" max="1" width="3" style="62" customWidth="1"/>
    <col min="2" max="2" width="7.7109375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9.28515625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619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620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/>
      <c r="G7" s="90">
        <v>0</v>
      </c>
      <c r="H7" s="91">
        <v>0</v>
      </c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0</v>
      </c>
      <c r="I8" s="92"/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>
        <v>0</v>
      </c>
      <c r="I9" s="92"/>
    </row>
    <row r="10" spans="1:9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>
        <v>0</v>
      </c>
      <c r="I10" s="92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91">
        <v>0</v>
      </c>
      <c r="I11" s="92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0</v>
      </c>
      <c r="G12" s="90">
        <v>0</v>
      </c>
      <c r="H12" s="91">
        <v>0</v>
      </c>
      <c r="I12" s="92"/>
    </row>
    <row r="13" spans="1:9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0</v>
      </c>
      <c r="G13" s="90">
        <v>0</v>
      </c>
      <c r="H13" s="91">
        <v>0</v>
      </c>
      <c r="I13" s="92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>
        <v>0</v>
      </c>
      <c r="I14" s="92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91">
        <v>0</v>
      </c>
      <c r="I15" s="92"/>
    </row>
    <row r="16" spans="1:9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50</v>
      </c>
      <c r="G16" s="90">
        <v>0</v>
      </c>
      <c r="H16" s="91">
        <v>0</v>
      </c>
      <c r="I16" s="92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>
        <v>0</v>
      </c>
      <c r="I17" s="92"/>
    </row>
    <row r="18" spans="1:9" hidden="1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0</v>
      </c>
      <c r="G18" s="90">
        <v>0</v>
      </c>
      <c r="H18" s="91">
        <v>0</v>
      </c>
      <c r="I18" s="92"/>
    </row>
    <row r="19" spans="1:9" hidden="1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/>
      <c r="G19" s="90">
        <v>0</v>
      </c>
      <c r="H19" s="91">
        <v>0</v>
      </c>
      <c r="I19" s="92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20000</v>
      </c>
      <c r="G20" s="90">
        <v>0</v>
      </c>
      <c r="H20" s="91">
        <v>0</v>
      </c>
      <c r="I20" s="92"/>
    </row>
    <row r="21" spans="1:9" hidden="1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>
        <v>0</v>
      </c>
      <c r="G21" s="90">
        <v>0</v>
      </c>
      <c r="H21" s="91">
        <v>0</v>
      </c>
      <c r="I21" s="92"/>
    </row>
    <row r="22" spans="1:9" hidden="1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0</v>
      </c>
      <c r="G22" s="90">
        <v>0</v>
      </c>
      <c r="H22" s="91">
        <v>0</v>
      </c>
      <c r="I22" s="92"/>
    </row>
    <row r="23" spans="1:9" hidden="1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>
        <v>0</v>
      </c>
      <c r="G23" s="90">
        <v>0</v>
      </c>
      <c r="H23" s="91">
        <v>0</v>
      </c>
      <c r="I23" s="92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>
        <v>0</v>
      </c>
      <c r="I24" s="92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>
        <v>0</v>
      </c>
      <c r="I25" s="92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>
        <v>0</v>
      </c>
      <c r="I26" s="92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>
        <v>0</v>
      </c>
      <c r="I27" s="92"/>
    </row>
    <row r="28" spans="1:9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>
        <v>1100</v>
      </c>
      <c r="G28" s="90">
        <v>0</v>
      </c>
      <c r="H28" s="91">
        <v>0</v>
      </c>
      <c r="I28" s="92"/>
    </row>
    <row r="29" spans="1:9" hidden="1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>
        <v>0</v>
      </c>
      <c r="G29" s="90">
        <v>0</v>
      </c>
      <c r="H29" s="91">
        <v>0</v>
      </c>
      <c r="I29" s="92"/>
    </row>
    <row r="30" spans="1:9" hidden="1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0</v>
      </c>
      <c r="G30" s="90">
        <v>0</v>
      </c>
      <c r="H30" s="91">
        <v>0</v>
      </c>
      <c r="I30" s="92"/>
    </row>
    <row r="31" spans="1:9" hidden="1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0</v>
      </c>
      <c r="G31" s="90">
        <v>0</v>
      </c>
      <c r="H31" s="91">
        <v>0</v>
      </c>
      <c r="I31" s="92"/>
    </row>
    <row r="32" spans="1:9" hidden="1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0</v>
      </c>
      <c r="G32" s="90">
        <v>0</v>
      </c>
      <c r="H32" s="91">
        <v>0</v>
      </c>
      <c r="I32" s="92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21150</v>
      </c>
      <c r="G33" s="104">
        <f>SUM(G6:G32)</f>
        <v>0</v>
      </c>
      <c r="H33" s="106">
        <f>SUM(H6:H32)</f>
        <v>0</v>
      </c>
      <c r="I33" s="107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112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>
        <v>0</v>
      </c>
      <c r="G35" s="90">
        <v>0</v>
      </c>
      <c r="H35" s="91">
        <v>0</v>
      </c>
      <c r="I35" s="92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1295178.8707909593</v>
      </c>
      <c r="G36" s="90">
        <v>0</v>
      </c>
      <c r="H36" s="91">
        <v>0</v>
      </c>
      <c r="I36" s="12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>
        <v>0</v>
      </c>
      <c r="G37" s="90">
        <v>0</v>
      </c>
      <c r="H37" s="91">
        <v>0</v>
      </c>
      <c r="I37" s="92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67543.532693621208</v>
      </c>
      <c r="G38" s="90">
        <v>0</v>
      </c>
      <c r="H38" s="91">
        <v>0</v>
      </c>
      <c r="I38" s="12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23502.623867911905</v>
      </c>
      <c r="G39" s="90">
        <v>0</v>
      </c>
      <c r="H39" s="91">
        <v>0</v>
      </c>
      <c r="I39" s="92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20821.119527256276</v>
      </c>
      <c r="G40" s="90">
        <v>0</v>
      </c>
      <c r="H40" s="91">
        <v>0</v>
      </c>
      <c r="I40" s="92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>
        <v>0</v>
      </c>
      <c r="G41" s="90">
        <v>0</v>
      </c>
      <c r="H41" s="91">
        <v>0</v>
      </c>
      <c r="I41" s="92"/>
    </row>
    <row r="42" spans="1:9" s="130" customFormat="1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>
        <v>28000</v>
      </c>
      <c r="G42" s="306">
        <v>0</v>
      </c>
      <c r="H42" s="307">
        <v>0</v>
      </c>
      <c r="I42" s="129"/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>
        <v>0</v>
      </c>
      <c r="G43" s="90">
        <v>0</v>
      </c>
      <c r="H43" s="91">
        <v>0</v>
      </c>
      <c r="I43" s="92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490668</v>
      </c>
      <c r="G44" s="90">
        <v>0</v>
      </c>
      <c r="H44" s="91">
        <v>0</v>
      </c>
      <c r="I44" s="92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>
        <v>0</v>
      </c>
      <c r="G45" s="90">
        <v>0</v>
      </c>
      <c r="H45" s="91">
        <v>0</v>
      </c>
      <c r="I45" s="92"/>
    </row>
    <row r="46" spans="1:9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>
        <v>0</v>
      </c>
      <c r="G46" s="90">
        <v>0</v>
      </c>
      <c r="H46" s="91">
        <v>0</v>
      </c>
      <c r="I46" s="92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>
        <v>0</v>
      </c>
      <c r="G47" s="90">
        <v>0</v>
      </c>
      <c r="H47" s="91">
        <v>0</v>
      </c>
      <c r="I47" s="133"/>
    </row>
    <row r="48" spans="1:9" hidden="1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>
        <v>0</v>
      </c>
      <c r="G48" s="90">
        <v>0</v>
      </c>
      <c r="H48" s="91">
        <v>0</v>
      </c>
      <c r="I48" s="92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1925714.1468797489</v>
      </c>
      <c r="G49" s="104">
        <f>SUM(G34:G48)</f>
        <v>0</v>
      </c>
      <c r="H49" s="106">
        <f>SUM(H34:H48)</f>
        <v>0</v>
      </c>
      <c r="I49" s="107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112"/>
    </row>
    <row r="51" spans="1:9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12500</v>
      </c>
      <c r="G51" s="143">
        <v>0</v>
      </c>
      <c r="H51" s="111">
        <v>0</v>
      </c>
      <c r="I51" s="92"/>
    </row>
    <row r="52" spans="1:9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>
        <v>21000</v>
      </c>
      <c r="G52" s="143">
        <v>0</v>
      </c>
      <c r="H52" s="111">
        <v>0</v>
      </c>
      <c r="I52" s="92"/>
    </row>
    <row r="53" spans="1:9" hidden="1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>
        <v>0</v>
      </c>
      <c r="G53" s="143">
        <v>0</v>
      </c>
      <c r="H53" s="111">
        <v>0</v>
      </c>
      <c r="I53" s="92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v>76145</v>
      </c>
      <c r="G54" s="143">
        <v>0</v>
      </c>
      <c r="H54" s="111">
        <v>0</v>
      </c>
      <c r="I54" s="92"/>
    </row>
    <row r="55" spans="1:9" hidden="1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>
        <v>0</v>
      </c>
      <c r="G55" s="143">
        <v>0</v>
      </c>
      <c r="H55" s="111">
        <v>0</v>
      </c>
      <c r="I55" s="92"/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>
        <v>0</v>
      </c>
      <c r="G56" s="143">
        <v>0</v>
      </c>
      <c r="H56" s="111">
        <v>0</v>
      </c>
      <c r="I56" s="92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109645</v>
      </c>
      <c r="G57" s="104">
        <f t="shared" si="0"/>
        <v>0</v>
      </c>
      <c r="H57" s="106">
        <f t="shared" si="0"/>
        <v>0</v>
      </c>
      <c r="I57" s="107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112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>
        <v>0</v>
      </c>
      <c r="G59" s="143">
        <v>0</v>
      </c>
      <c r="H59" s="111">
        <v>0</v>
      </c>
      <c r="I59" s="92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>
        <v>0</v>
      </c>
      <c r="G60" s="143">
        <v>0</v>
      </c>
      <c r="H60" s="111">
        <v>0</v>
      </c>
      <c r="I60" s="92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>
        <v>0</v>
      </c>
      <c r="G61" s="143">
        <v>0</v>
      </c>
      <c r="H61" s="111">
        <v>0</v>
      </c>
      <c r="I61" s="92"/>
    </row>
    <row r="62" spans="1:9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126717</v>
      </c>
      <c r="G62" s="143">
        <v>0</v>
      </c>
      <c r="H62" s="111">
        <v>0</v>
      </c>
      <c r="I62" s="92"/>
    </row>
    <row r="63" spans="1:9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>
        <v>25625</v>
      </c>
      <c r="G63" s="143">
        <v>0</v>
      </c>
      <c r="H63" s="111">
        <v>0</v>
      </c>
      <c r="I63" s="92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92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92"/>
    </row>
    <row r="66" spans="1:9" hidden="1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>
        <v>0</v>
      </c>
      <c r="G66" s="143">
        <v>0</v>
      </c>
      <c r="H66" s="111">
        <v>0</v>
      </c>
      <c r="I66" s="92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152342</v>
      </c>
      <c r="G67" s="157">
        <f>SUM(G58:G66)</f>
        <v>0</v>
      </c>
      <c r="H67" s="159">
        <f>SUM(H58:H66)</f>
        <v>0</v>
      </c>
      <c r="I67" s="92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92"/>
    </row>
    <row r="69" spans="1:9" hidden="1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0</v>
      </c>
      <c r="G69" s="143">
        <v>0</v>
      </c>
      <c r="H69" s="111">
        <v>0</v>
      </c>
      <c r="I69" s="92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2863258</v>
      </c>
      <c r="G70" s="143">
        <v>0</v>
      </c>
      <c r="H70" s="111">
        <v>0</v>
      </c>
      <c r="I70" s="92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2863258</v>
      </c>
      <c r="G71" s="157">
        <f t="shared" si="1"/>
        <v>0</v>
      </c>
      <c r="H71" s="159">
        <f>SUM(H69:H70)</f>
        <v>0</v>
      </c>
      <c r="I71" s="92"/>
    </row>
    <row r="72" spans="1:9" hidden="1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92"/>
    </row>
    <row r="73" spans="1:9" hidden="1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92"/>
    </row>
    <row r="74" spans="1:9" ht="15.75" thickBot="1" x14ac:dyDescent="0.3">
      <c r="A74" s="169" t="s">
        <v>423</v>
      </c>
      <c r="B74" s="170"/>
      <c r="C74" s="171"/>
      <c r="D74" s="172">
        <f>'PCFP - All Revenue AA-1 R -6'!D33+'PCFP - All Revenue AA-1 R -6'!D49+'PCFP - All Revenue AA-1 R -6'!D57+'PCFP - All Revenue AA-1 R -6'!D71+'PCFP - All Revenue AA-1 R -6'!D67</f>
        <v>0</v>
      </c>
      <c r="E74" s="172">
        <f>'PCFP - All Revenue AA-1 R -6'!E33+'PCFP - All Revenue AA-1 R -6'!E49+'PCFP - All Revenue AA-1 R -6'!E57+'PCFP - All Revenue AA-1 R -6'!E71+'PCFP - All Revenue AA-1 R -6'!E67</f>
        <v>0</v>
      </c>
      <c r="F74" s="173">
        <f>'PCFP - All Revenue AA-1 R -6'!F33+'PCFP - All Revenue AA-1 R -6'!F49+'PCFP - All Revenue AA-1 R -6'!F57+'PCFP - All Revenue AA-1 R -6'!F71+'PCFP - All Revenue AA-1 R -6'!F67</f>
        <v>5072109.1468797494</v>
      </c>
      <c r="G74" s="172">
        <f>'PCFP - All Revenue AA-1 R -6'!G33+'PCFP - All Revenue AA-1 R -6'!G49+'PCFP - All Revenue AA-1 R -6'!G57+'PCFP - All Revenue AA-1 R -6'!G71+'PCFP - All Revenue AA-1 R -6'!G67</f>
        <v>0</v>
      </c>
      <c r="H74" s="174">
        <f>'PCFP - All Revenue AA-1 R -6'!H33+'PCFP - All Revenue AA-1 R -6'!H49+'PCFP - All Revenue AA-1 R -6'!H57+'PCFP - All Revenue AA-1 R -6'!H71+'PCFP - All Revenue AA-1 R -6'!H67</f>
        <v>0</v>
      </c>
      <c r="I74" s="92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44">
        <v>44620</v>
      </c>
      <c r="G75" s="143"/>
      <c r="H75" s="111">
        <v>0</v>
      </c>
      <c r="I75" s="92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44"/>
      <c r="G76" s="143"/>
      <c r="H76" s="111">
        <v>0</v>
      </c>
      <c r="I76" s="92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44"/>
      <c r="G77" s="143"/>
      <c r="H77" s="111">
        <v>0</v>
      </c>
      <c r="I77" s="92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92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7">
        <f t="shared" si="2"/>
        <v>44620</v>
      </c>
      <c r="G79" s="187">
        <f t="shared" si="2"/>
        <v>0</v>
      </c>
      <c r="H79" s="187">
        <f>SUM(H75:H78)</f>
        <v>0</v>
      </c>
    </row>
    <row r="80" spans="1:9" x14ac:dyDescent="0.2">
      <c r="A80" s="94"/>
      <c r="B80" s="94"/>
      <c r="C80" s="191" t="str">
        <f>C1</f>
        <v>Esmeralda County School District</v>
      </c>
      <c r="D80" s="190" t="s">
        <v>428</v>
      </c>
      <c r="E80" s="190"/>
      <c r="F80" s="195"/>
      <c r="G80" s="196"/>
      <c r="H80" s="190"/>
    </row>
    <row r="81" spans="1:8" x14ac:dyDescent="0.2">
      <c r="A81" s="98"/>
      <c r="B81" s="98"/>
      <c r="C81" s="193" t="s">
        <v>429</v>
      </c>
      <c r="D81" s="189" t="s">
        <v>430</v>
      </c>
      <c r="E81" s="190"/>
      <c r="F81" s="190"/>
      <c r="G81" s="192" t="str">
        <f>"Budget Fiscal Year "&amp;TEXT('[6]Form 1'!$C$136, "mm/dd/yy")</f>
        <v>Budget Fiscal Year 2019-2020</v>
      </c>
      <c r="H81" s="190"/>
    </row>
    <row r="82" spans="1:8" x14ac:dyDescent="0.2">
      <c r="A82" s="189"/>
      <c r="B82" s="189"/>
      <c r="C82" s="190"/>
      <c r="D82" s="190"/>
      <c r="E82" s="190"/>
      <c r="F82" s="194"/>
      <c r="G82" s="192" t="s">
        <v>431</v>
      </c>
      <c r="H82" s="197"/>
    </row>
    <row r="83" spans="1:8" x14ac:dyDescent="0.2">
      <c r="A83" s="189"/>
      <c r="B83" s="189"/>
      <c r="C83" s="190"/>
      <c r="D83" s="190"/>
      <c r="E83" s="190"/>
      <c r="H83" s="192"/>
    </row>
    <row r="84" spans="1:8" x14ac:dyDescent="0.2">
      <c r="A84" s="189"/>
      <c r="B84" s="189"/>
      <c r="C84" s="190"/>
      <c r="D84" s="190"/>
      <c r="E84" s="190"/>
      <c r="H84" s="192"/>
    </row>
  </sheetData>
  <pageMargins left="0.2" right="0.2" top="0.25" bottom="0.25" header="0.05" footer="0.05"/>
  <pageSetup paperSize="5" scale="67" fitToHeight="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CC05-CDE6-43DB-837F-2F0DD659129F}">
  <sheetPr>
    <tabColor rgb="FFFFFF00"/>
    <pageSetUpPr fitToPage="1"/>
  </sheetPr>
  <dimension ref="A1:L151"/>
  <sheetViews>
    <sheetView showGridLines="0" zoomScale="70" zoomScaleNormal="70" workbookViewId="0">
      <selection activeCell="E158" sqref="E158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6.8554687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9.2851562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655573</v>
      </c>
      <c r="D3" s="89">
        <v>323569</v>
      </c>
      <c r="E3" s="89">
        <v>146650</v>
      </c>
      <c r="F3" s="89">
        <v>0</v>
      </c>
      <c r="G3" s="89">
        <v>0</v>
      </c>
      <c r="H3" s="89">
        <v>0</v>
      </c>
      <c r="I3" s="214">
        <v>0</v>
      </c>
      <c r="J3" s="89">
        <f>SUM(C3:I3)</f>
        <v>1125792</v>
      </c>
      <c r="K3" s="92"/>
    </row>
    <row r="4" spans="1:11" hidden="1" x14ac:dyDescent="0.2">
      <c r="A4" s="116">
        <v>200</v>
      </c>
      <c r="B4" s="95" t="s">
        <v>135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214">
        <v>0</v>
      </c>
      <c r="J4" s="89">
        <f t="shared" ref="J4:J67" si="0">SUM(C4:I4)</f>
        <v>0</v>
      </c>
      <c r="K4" s="92"/>
    </row>
    <row r="5" spans="1:11" x14ac:dyDescent="0.2">
      <c r="A5" s="210" t="s">
        <v>10</v>
      </c>
      <c r="B5" s="211" t="s">
        <v>136</v>
      </c>
      <c r="C5" s="89">
        <v>60574</v>
      </c>
      <c r="D5" s="89">
        <v>33584</v>
      </c>
      <c r="E5" s="89">
        <v>22800</v>
      </c>
      <c r="F5" s="89">
        <v>0</v>
      </c>
      <c r="G5" s="89">
        <v>0</v>
      </c>
      <c r="H5" s="89">
        <v>2463</v>
      </c>
      <c r="I5" s="214">
        <v>0</v>
      </c>
      <c r="J5" s="89">
        <f t="shared" si="0"/>
        <v>119421</v>
      </c>
      <c r="K5" s="212"/>
    </row>
    <row r="6" spans="1:11" hidden="1" x14ac:dyDescent="0.2">
      <c r="A6" s="116">
        <v>270</v>
      </c>
      <c r="B6" s="95" t="s">
        <v>137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214">
        <v>0</v>
      </c>
      <c r="J6" s="89">
        <f t="shared" si="0"/>
        <v>0</v>
      </c>
      <c r="K6" s="92"/>
    </row>
    <row r="7" spans="1:11" hidden="1" x14ac:dyDescent="0.2">
      <c r="A7" s="210" t="s">
        <v>10</v>
      </c>
      <c r="B7" s="211" t="s">
        <v>138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214">
        <v>0</v>
      </c>
      <c r="J7" s="89">
        <f t="shared" si="0"/>
        <v>0</v>
      </c>
      <c r="K7" s="212"/>
    </row>
    <row r="8" spans="1:11" hidden="1" x14ac:dyDescent="0.2">
      <c r="A8" s="116">
        <v>300</v>
      </c>
      <c r="B8" s="95" t="s">
        <v>139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214">
        <v>0</v>
      </c>
      <c r="J8" s="89">
        <f t="shared" si="0"/>
        <v>0</v>
      </c>
      <c r="K8" s="92"/>
    </row>
    <row r="9" spans="1:11" hidden="1" x14ac:dyDescent="0.2">
      <c r="A9" s="116">
        <v>400</v>
      </c>
      <c r="B9" s="95" t="s">
        <v>140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214">
        <v>0</v>
      </c>
      <c r="J9" s="89">
        <f t="shared" si="0"/>
        <v>0</v>
      </c>
      <c r="K9" s="92"/>
    </row>
    <row r="10" spans="1:11" hidden="1" x14ac:dyDescent="0.2">
      <c r="A10" s="210" t="s">
        <v>10</v>
      </c>
      <c r="B10" s="211" t="s">
        <v>141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214">
        <v>0</v>
      </c>
      <c r="J10" s="89">
        <f t="shared" si="0"/>
        <v>0</v>
      </c>
      <c r="K10" s="212"/>
    </row>
    <row r="11" spans="1:11" hidden="1" x14ac:dyDescent="0.2">
      <c r="A11" s="210" t="s">
        <v>10</v>
      </c>
      <c r="B11" s="211" t="s">
        <v>142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214">
        <v>0</v>
      </c>
      <c r="J11" s="89">
        <f t="shared" si="0"/>
        <v>0</v>
      </c>
      <c r="K11" s="212"/>
    </row>
    <row r="12" spans="1:11" hidden="1" x14ac:dyDescent="0.2">
      <c r="A12" s="116">
        <v>440</v>
      </c>
      <c r="B12" s="95" t="s">
        <v>143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214">
        <v>0</v>
      </c>
      <c r="J12" s="89">
        <f t="shared" si="0"/>
        <v>0</v>
      </c>
      <c r="K12" s="92"/>
    </row>
    <row r="13" spans="1:11" hidden="1" x14ac:dyDescent="0.2">
      <c r="A13" s="116">
        <v>500</v>
      </c>
      <c r="B13" s="95" t="s">
        <v>144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214">
        <v>0</v>
      </c>
      <c r="J13" s="89">
        <f t="shared" si="0"/>
        <v>0</v>
      </c>
      <c r="K13" s="92"/>
    </row>
    <row r="14" spans="1:11" hidden="1" x14ac:dyDescent="0.2">
      <c r="A14" s="116">
        <v>600</v>
      </c>
      <c r="B14" s="95" t="s">
        <v>145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214">
        <v>0</v>
      </c>
      <c r="J14" s="89">
        <f t="shared" si="0"/>
        <v>0</v>
      </c>
      <c r="K14" s="92"/>
    </row>
    <row r="15" spans="1:11" hidden="1" x14ac:dyDescent="0.2">
      <c r="A15" s="116">
        <v>800</v>
      </c>
      <c r="B15" s="95" t="s">
        <v>146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214">
        <v>0</v>
      </c>
      <c r="J15" s="89">
        <f t="shared" si="0"/>
        <v>0</v>
      </c>
      <c r="K15" s="92"/>
    </row>
    <row r="16" spans="1:11" x14ac:dyDescent="0.2">
      <c r="A16" s="116">
        <v>910</v>
      </c>
      <c r="B16" s="95" t="s">
        <v>147</v>
      </c>
      <c r="C16" s="89">
        <v>32224</v>
      </c>
      <c r="D16" s="89">
        <v>3412</v>
      </c>
      <c r="E16" s="89">
        <v>3400</v>
      </c>
      <c r="F16" s="89">
        <v>0</v>
      </c>
      <c r="G16" s="89">
        <v>0</v>
      </c>
      <c r="H16" s="89">
        <v>0</v>
      </c>
      <c r="I16" s="214">
        <v>0</v>
      </c>
      <c r="J16" s="89">
        <f t="shared" si="0"/>
        <v>39036</v>
      </c>
      <c r="K16" s="92"/>
    </row>
    <row r="17" spans="1:11" hidden="1" x14ac:dyDescent="0.2">
      <c r="A17" s="116">
        <v>920</v>
      </c>
      <c r="B17" s="95" t="s">
        <v>148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214">
        <v>0</v>
      </c>
      <c r="J17" s="89">
        <f t="shared" si="0"/>
        <v>0</v>
      </c>
      <c r="K17" s="92"/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hidden="1" x14ac:dyDescent="0.25">
      <c r="A20" s="215" t="s">
        <v>443</v>
      </c>
      <c r="B20" s="216" t="s">
        <v>444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0</v>
      </c>
      <c r="K20" s="92"/>
    </row>
    <row r="21" spans="1:11" hidden="1" x14ac:dyDescent="0.2">
      <c r="A21" s="116">
        <v>2100</v>
      </c>
      <c r="B21" s="95" t="s">
        <v>151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214">
        <v>0</v>
      </c>
      <c r="J21" s="89">
        <f t="shared" si="0"/>
        <v>0</v>
      </c>
      <c r="K21" s="92"/>
    </row>
    <row r="22" spans="1:11" hidden="1" x14ac:dyDescent="0.2">
      <c r="A22" s="116">
        <v>2200</v>
      </c>
      <c r="B22" s="95" t="s">
        <v>152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214">
        <v>0</v>
      </c>
      <c r="J22" s="89">
        <f t="shared" si="0"/>
        <v>0</v>
      </c>
      <c r="K22" s="92"/>
    </row>
    <row r="23" spans="1:11" x14ac:dyDescent="0.2">
      <c r="A23" s="116">
        <v>2300</v>
      </c>
      <c r="B23" s="95" t="s">
        <v>153</v>
      </c>
      <c r="C23" s="89">
        <v>96557</v>
      </c>
      <c r="D23" s="89">
        <v>54294</v>
      </c>
      <c r="E23" s="89">
        <v>105800</v>
      </c>
      <c r="F23" s="89">
        <v>0</v>
      </c>
      <c r="G23" s="89">
        <v>0</v>
      </c>
      <c r="H23" s="89">
        <v>0</v>
      </c>
      <c r="I23" s="214">
        <v>0</v>
      </c>
      <c r="J23" s="89">
        <f t="shared" si="0"/>
        <v>256651</v>
      </c>
      <c r="K23" s="92"/>
    </row>
    <row r="24" spans="1:11" hidden="1" x14ac:dyDescent="0.2">
      <c r="A24" s="116">
        <v>2400</v>
      </c>
      <c r="B24" s="95" t="s">
        <v>154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214">
        <v>0</v>
      </c>
      <c r="J24" s="89">
        <f t="shared" si="0"/>
        <v>0</v>
      </c>
      <c r="K24" s="92"/>
    </row>
    <row r="25" spans="1:11" x14ac:dyDescent="0.2">
      <c r="A25" s="116">
        <v>2500</v>
      </c>
      <c r="B25" s="95" t="s">
        <v>155</v>
      </c>
      <c r="C25" s="89">
        <v>159081</v>
      </c>
      <c r="D25" s="89">
        <v>65147</v>
      </c>
      <c r="E25" s="89">
        <v>139004</v>
      </c>
      <c r="F25" s="89">
        <v>0</v>
      </c>
      <c r="G25" s="89">
        <v>0</v>
      </c>
      <c r="H25" s="89">
        <v>0</v>
      </c>
      <c r="I25" s="214">
        <v>0</v>
      </c>
      <c r="J25" s="89">
        <f t="shared" si="0"/>
        <v>363232</v>
      </c>
      <c r="K25" s="92"/>
    </row>
    <row r="26" spans="1:11" x14ac:dyDescent="0.2">
      <c r="A26" s="116">
        <v>2600</v>
      </c>
      <c r="B26" s="95" t="s">
        <v>156</v>
      </c>
      <c r="C26" s="89">
        <v>157042</v>
      </c>
      <c r="D26" s="89">
        <v>90717</v>
      </c>
      <c r="E26" s="89">
        <v>163940</v>
      </c>
      <c r="F26" s="89">
        <v>0</v>
      </c>
      <c r="G26" s="89">
        <v>0</v>
      </c>
      <c r="H26" s="89">
        <v>0</v>
      </c>
      <c r="I26" s="214">
        <v>0</v>
      </c>
      <c r="J26" s="89">
        <f t="shared" si="0"/>
        <v>411699</v>
      </c>
      <c r="K26" s="92"/>
    </row>
    <row r="27" spans="1:11" x14ac:dyDescent="0.2">
      <c r="A27" s="217">
        <v>2700</v>
      </c>
      <c r="B27" s="211" t="s">
        <v>157</v>
      </c>
      <c r="C27" s="89">
        <v>187249</v>
      </c>
      <c r="D27" s="89">
        <v>94175</v>
      </c>
      <c r="E27" s="89">
        <v>146960</v>
      </c>
      <c r="F27" s="89">
        <v>0</v>
      </c>
      <c r="G27" s="89">
        <v>0</v>
      </c>
      <c r="H27" s="89">
        <v>0</v>
      </c>
      <c r="I27" s="214">
        <v>0</v>
      </c>
      <c r="J27" s="89">
        <f t="shared" si="0"/>
        <v>428384</v>
      </c>
      <c r="K27" s="212"/>
    </row>
    <row r="28" spans="1:11" x14ac:dyDescent="0.2">
      <c r="A28" s="116">
        <v>2900</v>
      </c>
      <c r="B28" s="95" t="s">
        <v>158</v>
      </c>
      <c r="C28" s="89">
        <v>157883</v>
      </c>
      <c r="D28" s="89">
        <v>78812</v>
      </c>
      <c r="E28" s="89">
        <v>41751</v>
      </c>
      <c r="F28" s="89">
        <v>0</v>
      </c>
      <c r="G28" s="89">
        <v>0</v>
      </c>
      <c r="H28" s="89">
        <v>0</v>
      </c>
      <c r="I28" s="214">
        <v>0</v>
      </c>
      <c r="J28" s="89">
        <f t="shared" si="0"/>
        <v>278446</v>
      </c>
      <c r="K28" s="92"/>
    </row>
    <row r="29" spans="1:11" s="204" customFormat="1" ht="15" hidden="1" x14ac:dyDescent="0.25">
      <c r="A29" s="218">
        <v>3000</v>
      </c>
      <c r="B29" s="216" t="s">
        <v>159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214">
        <v>0</v>
      </c>
      <c r="J29" s="89">
        <f t="shared" si="0"/>
        <v>0</v>
      </c>
      <c r="K29" s="219"/>
    </row>
    <row r="30" spans="1:11" x14ac:dyDescent="0.2">
      <c r="A30" s="217">
        <v>3100</v>
      </c>
      <c r="B30" s="211" t="s">
        <v>160</v>
      </c>
      <c r="C30" s="89">
        <v>34539</v>
      </c>
      <c r="D30" s="89">
        <v>20445</v>
      </c>
      <c r="E30" s="89">
        <v>20400</v>
      </c>
      <c r="F30" s="89">
        <v>0</v>
      </c>
      <c r="G30" s="89">
        <v>0</v>
      </c>
      <c r="H30" s="89">
        <v>2740</v>
      </c>
      <c r="I30" s="214">
        <v>0</v>
      </c>
      <c r="J30" s="89">
        <f t="shared" si="0"/>
        <v>78124</v>
      </c>
      <c r="K30" s="212"/>
    </row>
    <row r="31" spans="1:11" hidden="1" x14ac:dyDescent="0.2">
      <c r="A31" s="116">
        <v>3200</v>
      </c>
      <c r="B31" s="95" t="s">
        <v>161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214">
        <v>0</v>
      </c>
      <c r="J31" s="89">
        <f t="shared" si="0"/>
        <v>0</v>
      </c>
      <c r="K31" s="92"/>
    </row>
    <row r="32" spans="1:11" hidden="1" x14ac:dyDescent="0.2">
      <c r="A32" s="116">
        <v>3300</v>
      </c>
      <c r="B32" s="95" t="s">
        <v>162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214">
        <v>0</v>
      </c>
      <c r="J32" s="89">
        <f t="shared" si="0"/>
        <v>0</v>
      </c>
      <c r="K32" s="92"/>
    </row>
    <row r="33" spans="1:11" s="223" customFormat="1" hidden="1" x14ac:dyDescent="0.2">
      <c r="A33" s="220">
        <v>4100</v>
      </c>
      <c r="B33" s="221" t="s">
        <v>163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214">
        <v>0</v>
      </c>
      <c r="J33" s="89">
        <f t="shared" si="0"/>
        <v>0</v>
      </c>
      <c r="K33" s="222"/>
    </row>
    <row r="34" spans="1:11" s="225" customFormat="1" ht="15" hidden="1" x14ac:dyDescent="0.25">
      <c r="A34" s="220">
        <v>4000</v>
      </c>
      <c r="B34" s="221" t="s">
        <v>164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214">
        <v>0</v>
      </c>
      <c r="J34" s="89">
        <f t="shared" si="0"/>
        <v>0</v>
      </c>
      <c r="K34" s="224"/>
    </row>
    <row r="35" spans="1:11" s="223" customFormat="1" hidden="1" x14ac:dyDescent="0.2">
      <c r="A35" s="220">
        <v>4200</v>
      </c>
      <c r="B35" s="221" t="s">
        <v>165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214">
        <v>0</v>
      </c>
      <c r="J35" s="89">
        <f t="shared" si="0"/>
        <v>0</v>
      </c>
      <c r="K35" s="222"/>
    </row>
    <row r="36" spans="1:11" s="223" customFormat="1" hidden="1" x14ac:dyDescent="0.2">
      <c r="A36" s="220">
        <v>4300</v>
      </c>
      <c r="B36" s="221" t="s">
        <v>166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214">
        <v>0</v>
      </c>
      <c r="J36" s="89">
        <f t="shared" si="0"/>
        <v>0</v>
      </c>
      <c r="K36" s="222"/>
    </row>
    <row r="37" spans="1:11" s="223" customFormat="1" ht="28.5" hidden="1" x14ac:dyDescent="0.2">
      <c r="A37" s="220">
        <v>4400</v>
      </c>
      <c r="B37" s="221" t="s">
        <v>167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214">
        <v>0</v>
      </c>
      <c r="J37" s="89">
        <f t="shared" si="0"/>
        <v>0</v>
      </c>
      <c r="K37" s="222"/>
    </row>
    <row r="38" spans="1:11" s="223" customFormat="1" hidden="1" x14ac:dyDescent="0.2">
      <c r="A38" s="220">
        <v>4500</v>
      </c>
      <c r="B38" s="221" t="s">
        <v>168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214">
        <v>0</v>
      </c>
      <c r="J38" s="89">
        <f t="shared" si="0"/>
        <v>0</v>
      </c>
      <c r="K38" s="222"/>
    </row>
    <row r="39" spans="1:11" s="223" customFormat="1" hidden="1" x14ac:dyDescent="0.2">
      <c r="A39" s="220">
        <v>4600</v>
      </c>
      <c r="B39" s="221" t="s">
        <v>169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214">
        <v>0</v>
      </c>
      <c r="J39" s="89">
        <f t="shared" si="0"/>
        <v>0</v>
      </c>
      <c r="K39" s="222"/>
    </row>
    <row r="40" spans="1:11" s="223" customFormat="1" x14ac:dyDescent="0.2">
      <c r="A40" s="220">
        <v>4700</v>
      </c>
      <c r="B40" s="221" t="s">
        <v>170</v>
      </c>
      <c r="C40" s="89">
        <v>0</v>
      </c>
      <c r="D40" s="89">
        <v>0</v>
      </c>
      <c r="E40" s="89">
        <v>319000</v>
      </c>
      <c r="F40" s="89">
        <v>0</v>
      </c>
      <c r="G40" s="89">
        <v>0</v>
      </c>
      <c r="H40" s="89">
        <v>1097</v>
      </c>
      <c r="I40" s="214">
        <v>0</v>
      </c>
      <c r="J40" s="89">
        <f t="shared" si="0"/>
        <v>320097</v>
      </c>
      <c r="K40" s="222"/>
    </row>
    <row r="41" spans="1:11" s="223" customFormat="1" hidden="1" x14ac:dyDescent="0.2">
      <c r="A41" s="220">
        <v>4900</v>
      </c>
      <c r="B41" s="221" t="s">
        <v>171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214">
        <v>0</v>
      </c>
      <c r="J41" s="89">
        <f t="shared" si="0"/>
        <v>0</v>
      </c>
      <c r="K41" s="222"/>
    </row>
    <row r="42" spans="1:11" hidden="1" x14ac:dyDescent="0.2">
      <c r="A42" s="220">
        <v>5000</v>
      </c>
      <c r="B42" s="226" t="s">
        <v>172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214">
        <v>0</v>
      </c>
      <c r="J42" s="89">
        <f t="shared" si="0"/>
        <v>0</v>
      </c>
      <c r="K42" s="92"/>
    </row>
    <row r="43" spans="1:11" hidden="1" x14ac:dyDescent="0.2">
      <c r="A43" s="220">
        <v>5000</v>
      </c>
      <c r="B43" s="226" t="s">
        <v>173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214">
        <v>0</v>
      </c>
      <c r="J43" s="89">
        <f t="shared" si="0"/>
        <v>0</v>
      </c>
      <c r="K43" s="92"/>
    </row>
    <row r="44" spans="1:11" hidden="1" x14ac:dyDescent="0.2">
      <c r="A44" s="220">
        <v>6100</v>
      </c>
      <c r="B44" s="226" t="s">
        <v>174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214">
        <v>0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89">
        <v>0</v>
      </c>
      <c r="D45" s="89">
        <v>0</v>
      </c>
      <c r="E45" s="89">
        <v>126717</v>
      </c>
      <c r="F45" s="89">
        <v>0</v>
      </c>
      <c r="G45" s="89">
        <v>0</v>
      </c>
      <c r="H45" s="89">
        <v>0</v>
      </c>
      <c r="I45" s="214">
        <v>0</v>
      </c>
      <c r="J45" s="89">
        <f t="shared" si="0"/>
        <v>126717</v>
      </c>
      <c r="K45" s="92"/>
    </row>
    <row r="46" spans="1:11" hidden="1" x14ac:dyDescent="0.2">
      <c r="A46" s="116">
        <v>6300</v>
      </c>
      <c r="B46" s="95" t="s">
        <v>176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214">
        <v>0</v>
      </c>
      <c r="J46" s="89">
        <f t="shared" si="0"/>
        <v>0</v>
      </c>
      <c r="K46" s="92"/>
    </row>
    <row r="47" spans="1:11" ht="15" thickBot="1" x14ac:dyDescent="0.25">
      <c r="A47" s="116">
        <v>8000</v>
      </c>
      <c r="B47" s="227" t="s">
        <v>177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1816824</v>
      </c>
      <c r="I47" s="214">
        <v>0</v>
      </c>
      <c r="J47" s="89">
        <f t="shared" si="0"/>
        <v>1816824</v>
      </c>
      <c r="K47" s="92"/>
    </row>
    <row r="48" spans="1:11" ht="15" hidden="1" thickBot="1" x14ac:dyDescent="0.25">
      <c r="A48" s="116"/>
      <c r="B48" s="227" t="s">
        <v>445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214">
        <v>0</v>
      </c>
      <c r="J48" s="89">
        <f t="shared" si="0"/>
        <v>0</v>
      </c>
      <c r="K48" s="92"/>
    </row>
    <row r="49" spans="1:11" ht="15" hidden="1" thickBot="1" x14ac:dyDescent="0.25">
      <c r="A49" s="229"/>
      <c r="B49" s="100" t="s">
        <v>446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214">
        <v>0</v>
      </c>
      <c r="J49" s="89">
        <f t="shared" si="0"/>
        <v>0</v>
      </c>
      <c r="K49" s="92"/>
    </row>
    <row r="50" spans="1:11" ht="15" hidden="1" thickBot="1" x14ac:dyDescent="0.25">
      <c r="A50" s="230"/>
      <c r="B50" s="231" t="s">
        <v>255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316">
        <v>0</v>
      </c>
      <c r="J50" s="232">
        <f t="shared" si="0"/>
        <v>0</v>
      </c>
      <c r="K50" s="233"/>
    </row>
    <row r="51" spans="1:11" ht="15.75" thickBot="1" x14ac:dyDescent="0.3">
      <c r="A51" s="234"/>
      <c r="B51" s="235" t="s">
        <v>447</v>
      </c>
      <c r="C51" s="236">
        <f>SUM(C2:C50)</f>
        <v>1540722</v>
      </c>
      <c r="D51" s="236">
        <f>SUM(D2:D50)</f>
        <v>764155</v>
      </c>
      <c r="E51" s="236">
        <f>SUM(E2:E50)</f>
        <v>1236422</v>
      </c>
      <c r="F51" s="236">
        <f t="shared" ref="F51:I51" si="1">SUM(F2:F50)</f>
        <v>0</v>
      </c>
      <c r="G51" s="236">
        <f t="shared" si="1"/>
        <v>0</v>
      </c>
      <c r="H51" s="236">
        <f t="shared" si="1"/>
        <v>1823124</v>
      </c>
      <c r="I51" s="237">
        <f t="shared" si="1"/>
        <v>0</v>
      </c>
      <c r="J51" s="236">
        <f t="shared" si="0"/>
        <v>5364423</v>
      </c>
      <c r="K51" s="239"/>
    </row>
    <row r="52" spans="1:11" ht="15.75" hidden="1" thickBot="1" x14ac:dyDescent="0.3">
      <c r="A52" s="218" t="s">
        <v>448</v>
      </c>
      <c r="B52" s="95"/>
      <c r="C52" s="240">
        <v>0</v>
      </c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241">
        <v>0</v>
      </c>
      <c r="J52" s="144">
        <f t="shared" si="0"/>
        <v>0</v>
      </c>
      <c r="K52" s="112"/>
    </row>
    <row r="53" spans="1:11" ht="15.75" hidden="1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233"/>
    </row>
    <row r="54" spans="1:11" ht="15.75" thickBot="1" x14ac:dyDescent="0.3">
      <c r="A54" s="245" t="s">
        <v>454</v>
      </c>
      <c r="B54" s="246"/>
      <c r="C54" s="247">
        <f>SUM(C51:C53)</f>
        <v>1540722</v>
      </c>
      <c r="D54" s="247">
        <f t="shared" ref="D54:H54" si="2">SUM(D51:D53)</f>
        <v>764155</v>
      </c>
      <c r="E54" s="247">
        <f t="shared" si="2"/>
        <v>1236422</v>
      </c>
      <c r="F54" s="247">
        <f t="shared" si="2"/>
        <v>0</v>
      </c>
      <c r="G54" s="247">
        <f t="shared" si="2"/>
        <v>0</v>
      </c>
      <c r="H54" s="247">
        <f t="shared" si="2"/>
        <v>1823124</v>
      </c>
      <c r="I54" s="248">
        <f>SUM(I51:I53)</f>
        <v>0</v>
      </c>
      <c r="J54" s="236">
        <f>SUM(C54:I54)</f>
        <v>5364423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hidden="1" x14ac:dyDescent="0.25">
      <c r="A56" s="116"/>
      <c r="B56" s="95" t="s">
        <v>179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214">
        <v>0</v>
      </c>
      <c r="J56" s="89">
        <f t="shared" si="0"/>
        <v>0</v>
      </c>
      <c r="K56" s="249"/>
    </row>
    <row r="57" spans="1:11" ht="15" hidden="1" x14ac:dyDescent="0.25">
      <c r="A57" s="116"/>
      <c r="B57" s="95" t="s">
        <v>145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214">
        <v>0</v>
      </c>
      <c r="J57" s="89">
        <f t="shared" si="0"/>
        <v>0</v>
      </c>
      <c r="K57" s="249"/>
    </row>
    <row r="58" spans="1:11" ht="15" hidden="1" x14ac:dyDescent="0.25">
      <c r="A58" s="116"/>
      <c r="B58" s="95" t="s">
        <v>180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214">
        <v>0</v>
      </c>
      <c r="J58" s="89">
        <f t="shared" si="0"/>
        <v>0</v>
      </c>
      <c r="K58" s="249"/>
    </row>
    <row r="59" spans="1:11" ht="15" hidden="1" x14ac:dyDescent="0.25">
      <c r="A59" s="116"/>
      <c r="B59" s="95" t="s">
        <v>181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214">
        <v>0</v>
      </c>
      <c r="J59" s="89">
        <f t="shared" si="0"/>
        <v>0</v>
      </c>
      <c r="K59" s="249"/>
    </row>
    <row r="60" spans="1:11" ht="15" hidden="1" x14ac:dyDescent="0.25">
      <c r="A60" s="116"/>
      <c r="B60" s="95" t="s">
        <v>182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214">
        <v>0</v>
      </c>
      <c r="J60" s="89">
        <f t="shared" si="0"/>
        <v>0</v>
      </c>
      <c r="K60" s="249"/>
    </row>
    <row r="61" spans="1:11" ht="15" hidden="1" x14ac:dyDescent="0.25">
      <c r="A61" s="251"/>
      <c r="B61" s="100" t="s">
        <v>183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214">
        <v>0</v>
      </c>
      <c r="J61" s="89">
        <f t="shared" si="0"/>
        <v>0</v>
      </c>
      <c r="K61" s="249"/>
    </row>
    <row r="62" spans="1:11" ht="15" x14ac:dyDescent="0.25">
      <c r="A62" s="251"/>
      <c r="B62" s="100" t="s">
        <v>184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127728</v>
      </c>
      <c r="I62" s="214">
        <v>0</v>
      </c>
      <c r="J62" s="89">
        <f t="shared" si="0"/>
        <v>127728</v>
      </c>
      <c r="K62" s="249"/>
    </row>
    <row r="63" spans="1:11" ht="15" hidden="1" x14ac:dyDescent="0.25">
      <c r="A63" s="251"/>
      <c r="B63" s="100" t="s">
        <v>185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214">
        <v>0</v>
      </c>
      <c r="J63" s="89">
        <f t="shared" si="0"/>
        <v>0</v>
      </c>
      <c r="K63" s="249"/>
    </row>
    <row r="64" spans="1:11" ht="15" hidden="1" x14ac:dyDescent="0.25">
      <c r="A64" s="251"/>
      <c r="B64" s="100" t="s">
        <v>186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214">
        <v>0</v>
      </c>
      <c r="J64" s="89">
        <f t="shared" si="0"/>
        <v>0</v>
      </c>
      <c r="K64" s="249"/>
    </row>
    <row r="65" spans="1:11" ht="15" hidden="1" x14ac:dyDescent="0.25">
      <c r="A65" s="251"/>
      <c r="B65" s="100" t="s">
        <v>187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214">
        <v>0</v>
      </c>
      <c r="J65" s="89">
        <f t="shared" si="0"/>
        <v>0</v>
      </c>
      <c r="K65" s="249"/>
    </row>
    <row r="66" spans="1:11" ht="15" hidden="1" x14ac:dyDescent="0.25">
      <c r="A66" s="251"/>
      <c r="B66" s="100" t="s">
        <v>188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214">
        <v>0</v>
      </c>
      <c r="J66" s="89">
        <f t="shared" si="0"/>
        <v>0</v>
      </c>
      <c r="K66" s="249"/>
    </row>
    <row r="67" spans="1:11" ht="15" hidden="1" x14ac:dyDescent="0.25">
      <c r="A67" s="251"/>
      <c r="B67" s="100" t="s">
        <v>189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214">
        <v>0</v>
      </c>
      <c r="J67" s="89">
        <f t="shared" si="0"/>
        <v>0</v>
      </c>
      <c r="K67" s="249"/>
    </row>
    <row r="68" spans="1:11" ht="15" hidden="1" x14ac:dyDescent="0.25">
      <c r="A68" s="116"/>
      <c r="B68" s="95" t="s">
        <v>190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214">
        <v>0</v>
      </c>
      <c r="J68" s="89">
        <f t="shared" ref="J68:J131" si="3">SUM(C68:I68)</f>
        <v>0</v>
      </c>
      <c r="K68" s="249"/>
    </row>
    <row r="69" spans="1:11" ht="15" hidden="1" x14ac:dyDescent="0.25">
      <c r="A69" s="116"/>
      <c r="B69" s="95" t="s">
        <v>191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214">
        <v>0</v>
      </c>
      <c r="J69" s="89">
        <f t="shared" si="3"/>
        <v>0</v>
      </c>
      <c r="K69" s="249"/>
    </row>
    <row r="70" spans="1:11" ht="15" hidden="1" x14ac:dyDescent="0.25">
      <c r="A70" s="116"/>
      <c r="B70" s="95" t="s">
        <v>192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214">
        <v>0</v>
      </c>
      <c r="J70" s="89">
        <f t="shared" si="3"/>
        <v>0</v>
      </c>
      <c r="K70" s="249"/>
    </row>
    <row r="71" spans="1:11" ht="15" hidden="1" x14ac:dyDescent="0.25">
      <c r="A71" s="116"/>
      <c r="B71" s="95" t="s">
        <v>193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214">
        <v>0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198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214">
        <v>0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200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201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214">
        <v>0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202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214">
        <v>0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203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214">
        <v>0</v>
      </c>
      <c r="J81" s="89">
        <f t="shared" si="3"/>
        <v>0</v>
      </c>
      <c r="K81" s="249"/>
    </row>
    <row r="82" spans="1:12" ht="15" hidden="1" x14ac:dyDescent="0.25">
      <c r="A82" s="116"/>
      <c r="B82" s="95" t="s">
        <v>204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214">
        <v>0</v>
      </c>
      <c r="J82" s="89">
        <f t="shared" si="3"/>
        <v>0</v>
      </c>
      <c r="K82" s="249"/>
    </row>
    <row r="83" spans="1:12" ht="15" hidden="1" x14ac:dyDescent="0.25">
      <c r="A83" s="116"/>
      <c r="B83" s="95" t="s">
        <v>205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214">
        <v>0</v>
      </c>
      <c r="J83" s="89">
        <f t="shared" si="3"/>
        <v>0</v>
      </c>
      <c r="K83" s="249"/>
    </row>
    <row r="84" spans="1:12" hidden="1" x14ac:dyDescent="0.2">
      <c r="A84" s="116"/>
      <c r="B84" s="95" t="s">
        <v>206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214">
        <v>0</v>
      </c>
      <c r="J84" s="89">
        <f t="shared" si="3"/>
        <v>0</v>
      </c>
      <c r="K84" s="252"/>
    </row>
    <row r="85" spans="1:12" hidden="1" x14ac:dyDescent="0.2">
      <c r="A85" s="116"/>
      <c r="B85" s="95" t="s">
        <v>207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214">
        <v>0</v>
      </c>
      <c r="J85" s="89">
        <f t="shared" si="3"/>
        <v>0</v>
      </c>
      <c r="K85" s="252"/>
    </row>
    <row r="86" spans="1:12" ht="15" hidden="1" x14ac:dyDescent="0.25">
      <c r="A86" s="116"/>
      <c r="B86" s="95" t="s">
        <v>208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214">
        <v>0</v>
      </c>
      <c r="J86" s="89">
        <f t="shared" si="3"/>
        <v>0</v>
      </c>
      <c r="K86" s="249"/>
    </row>
    <row r="87" spans="1:12" ht="15" hidden="1" x14ac:dyDescent="0.25">
      <c r="A87" s="116"/>
      <c r="B87" s="95" t="s">
        <v>209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214">
        <v>0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210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214">
        <v>0</v>
      </c>
      <c r="J88" s="89">
        <f t="shared" si="3"/>
        <v>0</v>
      </c>
      <c r="K88" s="249"/>
      <c r="L88" s="77"/>
    </row>
    <row r="89" spans="1:12" ht="15" hidden="1" x14ac:dyDescent="0.25">
      <c r="A89" s="116"/>
      <c r="B89" s="95" t="s">
        <v>211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214">
        <v>0</v>
      </c>
      <c r="J89" s="89">
        <f t="shared" si="3"/>
        <v>0</v>
      </c>
      <c r="K89" s="249"/>
      <c r="L89" s="77"/>
    </row>
    <row r="90" spans="1:12" ht="15" hidden="1" x14ac:dyDescent="0.25">
      <c r="A90" s="116"/>
      <c r="B90" s="95" t="s">
        <v>212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214">
        <v>0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213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214">
        <v>0</v>
      </c>
      <c r="J91" s="89">
        <f t="shared" si="3"/>
        <v>0</v>
      </c>
      <c r="K91" s="249"/>
      <c r="L91" s="77"/>
    </row>
    <row r="92" spans="1:12" hidden="1" x14ac:dyDescent="0.2">
      <c r="A92" s="116"/>
      <c r="B92" s="95" t="s">
        <v>214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214">
        <v>0</v>
      </c>
      <c r="J92" s="89">
        <f t="shared" si="3"/>
        <v>0</v>
      </c>
      <c r="K92" s="252"/>
    </row>
    <row r="93" spans="1:12" hidden="1" x14ac:dyDescent="0.2">
      <c r="A93" s="116"/>
      <c r="B93" s="95" t="s">
        <v>215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214">
        <v>0</v>
      </c>
      <c r="J93" s="89">
        <f t="shared" si="3"/>
        <v>0</v>
      </c>
      <c r="K93" s="252"/>
    </row>
    <row r="94" spans="1:12" hidden="1" x14ac:dyDescent="0.2">
      <c r="A94" s="116"/>
      <c r="B94" s="95" t="s">
        <v>216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214">
        <v>0</v>
      </c>
      <c r="J94" s="89">
        <f t="shared" si="3"/>
        <v>0</v>
      </c>
      <c r="K94" s="252"/>
    </row>
    <row r="95" spans="1:12" hidden="1" x14ac:dyDescent="0.2">
      <c r="A95" s="116"/>
      <c r="B95" s="95" t="s">
        <v>217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214">
        <v>0</v>
      </c>
      <c r="J95" s="89">
        <f t="shared" si="3"/>
        <v>0</v>
      </c>
      <c r="K95" s="252"/>
    </row>
    <row r="96" spans="1:12" hidden="1" x14ac:dyDescent="0.2">
      <c r="A96" s="116"/>
      <c r="B96" s="95" t="s">
        <v>218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214">
        <v>0</v>
      </c>
      <c r="J96" s="89">
        <f t="shared" si="3"/>
        <v>0</v>
      </c>
      <c r="K96" s="252"/>
    </row>
    <row r="97" spans="1:11" hidden="1" x14ac:dyDescent="0.2">
      <c r="A97" s="116"/>
      <c r="B97" s="95" t="s">
        <v>219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214">
        <v>0</v>
      </c>
      <c r="J97" s="89">
        <f t="shared" si="3"/>
        <v>0</v>
      </c>
      <c r="K97" s="252"/>
    </row>
    <row r="98" spans="1:11" ht="15" hidden="1" x14ac:dyDescent="0.25">
      <c r="A98" s="251"/>
      <c r="B98" s="100" t="s">
        <v>220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214">
        <v>0</v>
      </c>
      <c r="J98" s="89">
        <f t="shared" si="3"/>
        <v>0</v>
      </c>
      <c r="K98" s="249"/>
    </row>
    <row r="99" spans="1:11" ht="15" hidden="1" x14ac:dyDescent="0.25">
      <c r="A99" s="251"/>
      <c r="B99" s="100" t="s">
        <v>221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214">
        <v>0</v>
      </c>
      <c r="J99" s="89">
        <f t="shared" si="3"/>
        <v>0</v>
      </c>
      <c r="K99" s="249"/>
    </row>
    <row r="100" spans="1:11" hidden="1" x14ac:dyDescent="0.2">
      <c r="A100" s="210" t="s">
        <v>10</v>
      </c>
      <c r="B100" s="211" t="s">
        <v>142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214">
        <v>0</v>
      </c>
      <c r="J100" s="89">
        <f t="shared" si="3"/>
        <v>0</v>
      </c>
      <c r="K100" s="255"/>
    </row>
    <row r="101" spans="1:11" hidden="1" x14ac:dyDescent="0.2">
      <c r="A101" s="210" t="s">
        <v>10</v>
      </c>
      <c r="B101" s="211" t="s">
        <v>141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33</v>
      </c>
      <c r="B102" s="211" t="s">
        <v>222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hidden="1" x14ac:dyDescent="0.2">
      <c r="A103" s="210" t="s">
        <v>10</v>
      </c>
      <c r="B103" s="211" t="s">
        <v>138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0</v>
      </c>
      <c r="J103" s="89">
        <f t="shared" si="3"/>
        <v>0</v>
      </c>
      <c r="K103" s="255"/>
    </row>
    <row r="104" spans="1:11" hidden="1" x14ac:dyDescent="0.2">
      <c r="A104" s="210" t="s">
        <v>10</v>
      </c>
      <c r="B104" s="211" t="s">
        <v>136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214">
        <v>0</v>
      </c>
      <c r="J104" s="89">
        <f t="shared" si="3"/>
        <v>0</v>
      </c>
      <c r="K104" s="255"/>
    </row>
    <row r="105" spans="1:11" hidden="1" x14ac:dyDescent="0.2">
      <c r="A105" s="257"/>
      <c r="B105" s="95" t="s">
        <v>223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252"/>
    </row>
    <row r="106" spans="1:11" hidden="1" x14ac:dyDescent="0.2">
      <c r="A106" s="257"/>
      <c r="B106" s="95" t="s">
        <v>224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252"/>
    </row>
    <row r="107" spans="1:11" hidden="1" x14ac:dyDescent="0.2">
      <c r="A107" s="257"/>
      <c r="B107" s="95" t="s">
        <v>225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214">
        <v>0</v>
      </c>
      <c r="J107" s="89">
        <f t="shared" si="3"/>
        <v>0</v>
      </c>
      <c r="K107" s="252"/>
    </row>
    <row r="108" spans="1:11" hidden="1" x14ac:dyDescent="0.2">
      <c r="A108" s="257"/>
      <c r="B108" s="95" t="s">
        <v>226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252"/>
    </row>
    <row r="109" spans="1:11" ht="15" hidden="1" x14ac:dyDescent="0.25">
      <c r="A109" s="116"/>
      <c r="B109" s="95" t="s">
        <v>227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0</v>
      </c>
      <c r="J109" s="89">
        <f t="shared" si="3"/>
        <v>0</v>
      </c>
      <c r="K109" s="249"/>
    </row>
    <row r="110" spans="1:11" ht="15" hidden="1" x14ac:dyDescent="0.25">
      <c r="A110" s="116"/>
      <c r="B110" s="95" t="s">
        <v>228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214">
        <v>0</v>
      </c>
      <c r="J110" s="89">
        <f t="shared" si="3"/>
        <v>0</v>
      </c>
      <c r="K110" s="249"/>
    </row>
    <row r="111" spans="1:11" ht="15" hidden="1" x14ac:dyDescent="0.25">
      <c r="A111" s="116"/>
      <c r="B111" s="95" t="s">
        <v>229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214">
        <v>0</v>
      </c>
      <c r="J111" s="89">
        <f t="shared" si="3"/>
        <v>0</v>
      </c>
      <c r="K111" s="249"/>
    </row>
    <row r="112" spans="1:11" ht="15" hidden="1" x14ac:dyDescent="0.25">
      <c r="A112" s="116"/>
      <c r="B112" s="95" t="s">
        <v>230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231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232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0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233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234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49"/>
    </row>
    <row r="117" spans="1:11" ht="15" hidden="1" x14ac:dyDescent="0.25">
      <c r="A117" s="116"/>
      <c r="B117" s="95" t="s">
        <v>9</v>
      </c>
      <c r="C117" s="89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214">
        <v>0</v>
      </c>
      <c r="J117" s="89">
        <f t="shared" si="3"/>
        <v>0</v>
      </c>
      <c r="K117" s="249"/>
    </row>
    <row r="118" spans="1:11" ht="15" hidden="1" x14ac:dyDescent="0.25">
      <c r="A118" s="116"/>
      <c r="B118" s="95" t="s">
        <v>235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214">
        <v>0</v>
      </c>
      <c r="J118" s="89">
        <f t="shared" si="3"/>
        <v>0</v>
      </c>
      <c r="K118" s="249"/>
    </row>
    <row r="119" spans="1:11" ht="15" hidden="1" x14ac:dyDescent="0.25">
      <c r="A119" s="116"/>
      <c r="B119" s="95" t="s">
        <v>236</v>
      </c>
      <c r="C119" s="89">
        <v>0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214">
        <v>0</v>
      </c>
      <c r="J119" s="89">
        <f t="shared" si="3"/>
        <v>0</v>
      </c>
      <c r="K119" s="249"/>
    </row>
    <row r="120" spans="1:11" ht="15" hidden="1" x14ac:dyDescent="0.25">
      <c r="A120" s="116"/>
      <c r="B120" s="95" t="s">
        <v>237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214">
        <v>0</v>
      </c>
      <c r="J120" s="89">
        <f t="shared" si="3"/>
        <v>0</v>
      </c>
      <c r="K120" s="249"/>
    </row>
    <row r="121" spans="1:11" ht="15" hidden="1" x14ac:dyDescent="0.25">
      <c r="A121" s="116"/>
      <c r="B121" s="95" t="s">
        <v>238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214">
        <v>0</v>
      </c>
      <c r="J121" s="89">
        <f t="shared" si="3"/>
        <v>0</v>
      </c>
      <c r="K121" s="249"/>
    </row>
    <row r="122" spans="1:11" ht="15" hidden="1" x14ac:dyDescent="0.25">
      <c r="A122" s="251"/>
      <c r="B122" s="100" t="s">
        <v>239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251"/>
      <c r="B123" s="100" t="s">
        <v>240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0</v>
      </c>
      <c r="J123" s="89">
        <f t="shared" si="3"/>
        <v>0</v>
      </c>
      <c r="K123" s="249"/>
    </row>
    <row r="124" spans="1:11" ht="15" hidden="1" x14ac:dyDescent="0.25">
      <c r="A124" s="251"/>
      <c r="B124" s="100" t="s">
        <v>241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8"/>
      <c r="B125" s="244" t="s">
        <v>242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243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214">
        <v>0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244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hidden="1" x14ac:dyDescent="0.25">
      <c r="A128" s="260" t="s">
        <v>245</v>
      </c>
      <c r="B128" s="317"/>
      <c r="C128" s="89"/>
      <c r="D128" s="89"/>
      <c r="E128" s="89"/>
      <c r="F128" s="89"/>
      <c r="G128" s="89"/>
      <c r="H128" s="89"/>
      <c r="I128" s="214"/>
      <c r="J128" s="89"/>
      <c r="K128" s="249"/>
    </row>
    <row r="129" spans="1:11" ht="15" hidden="1" x14ac:dyDescent="0.25">
      <c r="A129" s="116"/>
      <c r="B129" s="95" t="s">
        <v>246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214">
        <v>0</v>
      </c>
      <c r="J129" s="89">
        <f t="shared" si="3"/>
        <v>0</v>
      </c>
      <c r="K129" s="249"/>
    </row>
    <row r="130" spans="1:11" hidden="1" x14ac:dyDescent="0.2">
      <c r="A130" s="251"/>
      <c r="B130" s="100" t="s">
        <v>247</v>
      </c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214">
        <v>0</v>
      </c>
      <c r="J130" s="89">
        <f t="shared" si="3"/>
        <v>0</v>
      </c>
      <c r="K130" s="252"/>
    </row>
    <row r="131" spans="1:11" hidden="1" x14ac:dyDescent="0.2">
      <c r="A131" s="116"/>
      <c r="B131" s="95" t="s">
        <v>248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249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ref="J132:J147" si="4">SUM(C132:I132)</f>
        <v>0</v>
      </c>
      <c r="K132" s="252"/>
    </row>
    <row r="133" spans="1:11" hidden="1" x14ac:dyDescent="0.2">
      <c r="A133" s="116"/>
      <c r="B133" s="95" t="s">
        <v>250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214">
        <v>0</v>
      </c>
      <c r="J133" s="89">
        <f t="shared" si="4"/>
        <v>0</v>
      </c>
      <c r="K133" s="92"/>
    </row>
    <row r="134" spans="1:11" hidden="1" x14ac:dyDescent="0.2">
      <c r="A134" s="116"/>
      <c r="B134" s="95" t="s">
        <v>251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252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253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254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255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256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257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hidden="1" x14ac:dyDescent="0.2">
      <c r="A141" s="116"/>
      <c r="B141" s="95" t="s">
        <v>258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0</v>
      </c>
      <c r="J141" s="89">
        <f t="shared" si="4"/>
        <v>0</v>
      </c>
      <c r="K141" s="92"/>
    </row>
    <row r="142" spans="1:11" hidden="1" x14ac:dyDescent="0.2">
      <c r="A142" s="116"/>
      <c r="B142" s="95" t="s">
        <v>259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214">
        <v>0</v>
      </c>
      <c r="J142" s="89">
        <f t="shared" si="4"/>
        <v>0</v>
      </c>
      <c r="K142" s="92"/>
    </row>
    <row r="143" spans="1:11" hidden="1" x14ac:dyDescent="0.2">
      <c r="A143" s="116"/>
      <c r="B143" s="95" t="s">
        <v>260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214">
        <v>0</v>
      </c>
      <c r="J143" s="89">
        <f t="shared" si="4"/>
        <v>0</v>
      </c>
      <c r="K143" s="92"/>
    </row>
    <row r="144" spans="1:11" ht="15.75" thickBot="1" x14ac:dyDescent="0.3">
      <c r="A144" s="261" t="s">
        <v>456</v>
      </c>
      <c r="B144" s="262"/>
      <c r="C144" s="263">
        <f>SUM(C55:C143)</f>
        <v>0</v>
      </c>
      <c r="D144" s="263">
        <f t="shared" ref="D144:H144" si="5">SUM(D55:D143)</f>
        <v>0</v>
      </c>
      <c r="E144" s="263">
        <f t="shared" si="5"/>
        <v>0</v>
      </c>
      <c r="F144" s="263">
        <f t="shared" si="5"/>
        <v>0</v>
      </c>
      <c r="G144" s="263">
        <f t="shared" si="5"/>
        <v>0</v>
      </c>
      <c r="H144" s="263">
        <f t="shared" si="5"/>
        <v>127728</v>
      </c>
      <c r="I144" s="264">
        <f>SUM(I55:I143)</f>
        <v>0</v>
      </c>
      <c r="J144" s="265">
        <f t="shared" si="4"/>
        <v>127728</v>
      </c>
      <c r="K144" s="266"/>
    </row>
    <row r="145" spans="1:10" ht="18.75" customHeight="1" thickBot="1" x14ac:dyDescent="0.3">
      <c r="A145" s="245" t="s">
        <v>457</v>
      </c>
      <c r="B145" s="246"/>
      <c r="C145" s="247">
        <f>C54+C144</f>
        <v>1540722</v>
      </c>
      <c r="D145" s="247">
        <f t="shared" ref="D145:I145" si="6">D54+D144</f>
        <v>764155</v>
      </c>
      <c r="E145" s="247">
        <f t="shared" si="6"/>
        <v>1236422</v>
      </c>
      <c r="F145" s="247">
        <f t="shared" si="6"/>
        <v>0</v>
      </c>
      <c r="G145" s="247">
        <f t="shared" si="6"/>
        <v>0</v>
      </c>
      <c r="H145" s="247">
        <f t="shared" si="6"/>
        <v>1950852</v>
      </c>
      <c r="I145" s="248">
        <f t="shared" si="6"/>
        <v>0</v>
      </c>
      <c r="J145" s="236">
        <f t="shared" si="4"/>
        <v>5492151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0</v>
      </c>
      <c r="F146" s="269">
        <v>0</v>
      </c>
      <c r="G146" s="269">
        <v>0</v>
      </c>
      <c r="H146" s="269">
        <v>0</v>
      </c>
      <c r="I146" s="270">
        <v>0</v>
      </c>
      <c r="J146" s="144">
        <f t="shared" si="4"/>
        <v>0</v>
      </c>
    </row>
    <row r="147" spans="1:10" ht="21.75" customHeight="1" thickBot="1" x14ac:dyDescent="0.3">
      <c r="A147" s="271" t="s">
        <v>459</v>
      </c>
      <c r="B147" s="103"/>
      <c r="C147" s="272">
        <f>C145+C146</f>
        <v>1540722</v>
      </c>
      <c r="D147" s="272">
        <f t="shared" ref="D147:I147" si="7">D145+D146</f>
        <v>764155</v>
      </c>
      <c r="E147" s="272">
        <f t="shared" si="7"/>
        <v>1236422</v>
      </c>
      <c r="F147" s="272">
        <f t="shared" si="7"/>
        <v>0</v>
      </c>
      <c r="G147" s="272">
        <f t="shared" si="7"/>
        <v>0</v>
      </c>
      <c r="H147" s="272">
        <f t="shared" si="7"/>
        <v>1950852</v>
      </c>
      <c r="I147" s="272">
        <f t="shared" si="7"/>
        <v>0</v>
      </c>
      <c r="J147" s="272">
        <f t="shared" si="4"/>
        <v>5492151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74"/>
      <c r="J148" s="274"/>
    </row>
    <row r="149" spans="1:10" x14ac:dyDescent="0.2">
      <c r="A149" s="275"/>
      <c r="B149" s="191" t="str">
        <f>'PCFP - All Revenue AA-1 R -6'!C80</f>
        <v>Esmeralda County School District</v>
      </c>
      <c r="C149" s="274" t="s">
        <v>428</v>
      </c>
      <c r="D149" s="274"/>
      <c r="E149" s="276"/>
      <c r="F149" s="276"/>
      <c r="G149" s="276"/>
      <c r="H149" s="280"/>
      <c r="I149" s="280"/>
      <c r="J149" s="191"/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J150" s="278" t="str">
        <f>"Budget Fiscal Year "&amp;TEXT('[6]Form 1'!$C$136, "mm/dd/yy")</f>
        <v>Budget Fiscal Year 2019-2020</v>
      </c>
    </row>
    <row r="151" spans="1:10" x14ac:dyDescent="0.2">
      <c r="J151" s="280" t="s">
        <v>461</v>
      </c>
    </row>
  </sheetData>
  <pageMargins left="0.55000000000000004" right="0" top="0.5" bottom="0.25" header="0.5" footer="0"/>
  <pageSetup scale="69" fitToHeight="3" orientation="landscape" r:id="rId1"/>
  <headerFooter alignWithMargins="0">
    <oddFooter>&amp;C&amp;8FORM 4405LGF
Last Revised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FDD0-838F-4D93-BE0C-0FA822F06FC3}">
  <dimension ref="A2:I17"/>
  <sheetViews>
    <sheetView showGridLines="0" workbookViewId="0">
      <selection activeCell="E41" sqref="E41"/>
    </sheetView>
  </sheetViews>
  <sheetFormatPr defaultRowHeight="12.75" x14ac:dyDescent="0.2"/>
  <sheetData>
    <row r="2" spans="1:9" ht="18" x14ac:dyDescent="0.25">
      <c r="A2" s="6" t="s">
        <v>621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7E093-B17D-4541-AFEA-1116549B262E}">
  <dimension ref="A1:G159"/>
  <sheetViews>
    <sheetView showGridLines="0" zoomScale="85" zoomScaleNormal="85" workbookViewId="0">
      <selection activeCell="N180" sqref="N180"/>
    </sheetView>
  </sheetViews>
  <sheetFormatPr defaultRowHeight="12.75" x14ac:dyDescent="0.2"/>
  <cols>
    <col min="1" max="1" width="8.28515625" style="2" bestFit="1" customWidth="1"/>
    <col min="2" max="2" width="41.140625" bestFit="1" customWidth="1"/>
    <col min="3" max="3" width="15.28515625" style="12" bestFit="1" customWidth="1"/>
    <col min="4" max="4" width="18.7109375" style="12" bestFit="1" customWidth="1"/>
    <col min="5" max="5" width="19.7109375" bestFit="1" customWidth="1"/>
    <col min="6" max="6" width="16.7109375" bestFit="1" customWidth="1"/>
    <col min="7" max="7" width="16.5703125" bestFit="1" customWidth="1"/>
  </cols>
  <sheetData>
    <row r="1" spans="1:7" s="8" customFormat="1" ht="18" x14ac:dyDescent="0.25">
      <c r="A1" s="6"/>
      <c r="B1" s="9" t="s">
        <v>261</v>
      </c>
      <c r="C1" s="496" t="s">
        <v>622</v>
      </c>
      <c r="D1" s="10" t="s">
        <v>119</v>
      </c>
    </row>
    <row r="3" spans="1:7" s="15" customFormat="1" ht="38.25" x14ac:dyDescent="0.2">
      <c r="A3" s="13"/>
      <c r="B3" s="13" t="s">
        <v>120</v>
      </c>
      <c r="C3" s="14" t="s">
        <v>545</v>
      </c>
      <c r="D3" s="14" t="s">
        <v>546</v>
      </c>
      <c r="E3" s="14" t="s">
        <v>123</v>
      </c>
    </row>
    <row r="4" spans="1:7" x14ac:dyDescent="0.2">
      <c r="B4" s="3"/>
    </row>
    <row r="5" spans="1:7" x14ac:dyDescent="0.2">
      <c r="B5" s="16" t="s">
        <v>124</v>
      </c>
      <c r="C5" s="12">
        <f>'19_20 District Budget Summ-7'!L28</f>
        <v>10864158</v>
      </c>
      <c r="D5" s="12">
        <f>'PCFP - All Revenue AA-1 R-7'!F33+'PCFP - All Revenue AA-1 R-7'!H33</f>
        <v>1126000</v>
      </c>
      <c r="E5" s="17">
        <f>D5-C5</f>
        <v>-9738158</v>
      </c>
    </row>
    <row r="6" spans="1:7" x14ac:dyDescent="0.2">
      <c r="E6" s="17"/>
    </row>
    <row r="7" spans="1:7" x14ac:dyDescent="0.2">
      <c r="B7" s="16" t="s">
        <v>125</v>
      </c>
      <c r="C7" s="12">
        <f>'19_20 District Budget Summ-7'!L41</f>
        <v>1497690</v>
      </c>
      <c r="D7" s="12">
        <f>'PCFP - All Revenue AA-1 R-7'!F49+'PCFP - All Revenue AA-1 R-7'!H49</f>
        <v>5042086.3299370464</v>
      </c>
      <c r="E7" s="17">
        <f>D7-C7</f>
        <v>3544396.3299370464</v>
      </c>
    </row>
    <row r="8" spans="1:7" x14ac:dyDescent="0.2">
      <c r="E8" s="17"/>
    </row>
    <row r="9" spans="1:7" x14ac:dyDescent="0.2">
      <c r="B9" s="16" t="s">
        <v>126</v>
      </c>
      <c r="C9" s="12">
        <f>'19_20 District Budget Summ-7'!L54</f>
        <v>371254</v>
      </c>
      <c r="D9" s="12">
        <f>'PCFP - All Revenue AA-1 R-7'!F57+'PCFP - All Revenue AA-1 R-7'!H57</f>
        <v>371314</v>
      </c>
      <c r="E9" s="17">
        <f>D9-C9</f>
        <v>60</v>
      </c>
    </row>
    <row r="10" spans="1:7" x14ac:dyDescent="0.2">
      <c r="E10" s="17"/>
    </row>
    <row r="11" spans="1:7" x14ac:dyDescent="0.2">
      <c r="B11" s="16" t="s">
        <v>127</v>
      </c>
      <c r="C11" s="12">
        <f>'19_20 District Budget Summ-7'!L61</f>
        <v>0</v>
      </c>
      <c r="D11" s="12">
        <f>'PCFP - All Revenue AA-1 R-7'!F67+'PCFP - All Revenue AA-1 R-7'!H67</f>
        <v>0</v>
      </c>
      <c r="E11" s="17">
        <f>D11-C11</f>
        <v>0</v>
      </c>
    </row>
    <row r="12" spans="1:7" x14ac:dyDescent="0.2">
      <c r="E12" s="17"/>
      <c r="G12" s="521"/>
    </row>
    <row r="13" spans="1:7" s="2" customFormat="1" x14ac:dyDescent="0.2">
      <c r="B13" s="18" t="s">
        <v>128</v>
      </c>
      <c r="C13" s="19">
        <f t="shared" ref="C13" si="0">SUM(C5:C12)</f>
        <v>12733102</v>
      </c>
      <c r="D13" s="19">
        <f>SUM(D5:D12)</f>
        <v>6539400.3299370464</v>
      </c>
      <c r="E13" s="20">
        <f>D13-C13</f>
        <v>-6193701.6700629536</v>
      </c>
    </row>
    <row r="15" spans="1:7" x14ac:dyDescent="0.2">
      <c r="B15" s="16" t="s">
        <v>129</v>
      </c>
      <c r="C15" s="12">
        <f>'19_20 District Budget Summ-7'!L70</f>
        <v>63668169</v>
      </c>
      <c r="D15" s="12">
        <f>'PCFP - All Revenue AA-1 R-7'!F71+'PCFP - All Revenue AA-1 R-7'!H71</f>
        <v>63668169</v>
      </c>
      <c r="E15" s="21">
        <f>D15-C15</f>
        <v>0</v>
      </c>
    </row>
    <row r="17" spans="1:7" x14ac:dyDescent="0.2">
      <c r="A17" s="22"/>
      <c r="B17" s="23" t="s">
        <v>306</v>
      </c>
      <c r="C17" s="24">
        <f t="shared" ref="C17" si="1">SUM(C13:C15)</f>
        <v>76401271</v>
      </c>
      <c r="D17" s="24">
        <f>SUM(D13:D15)</f>
        <v>70207569.329937041</v>
      </c>
      <c r="E17" s="25">
        <f>D17-C17</f>
        <v>-6193701.6700629592</v>
      </c>
      <c r="F17" s="26"/>
      <c r="G17" s="17"/>
    </row>
    <row r="18" spans="1:7" s="2" customFormat="1" x14ac:dyDescent="0.2">
      <c r="A18" s="27"/>
      <c r="B18" s="28" t="s">
        <v>131</v>
      </c>
      <c r="C18" s="285">
        <f>SUM(C21,C38,C70)</f>
        <v>76401271</v>
      </c>
      <c r="D18" s="285">
        <f>SUM(D21,D38,D70)</f>
        <v>76401271</v>
      </c>
      <c r="E18" s="29">
        <f>D18-C18</f>
        <v>0</v>
      </c>
    </row>
    <row r="19" spans="1:7" s="3" customFormat="1" x14ac:dyDescent="0.2">
      <c r="A19" s="30"/>
      <c r="B19" s="286" t="s">
        <v>132</v>
      </c>
      <c r="C19" s="287">
        <f t="shared" ref="C19" si="2">C17-C18</f>
        <v>0</v>
      </c>
      <c r="D19" s="287">
        <f>D17-D18</f>
        <v>-6193701.6700629592</v>
      </c>
      <c r="E19" s="522">
        <f>D19-C19</f>
        <v>-6193701.6700629592</v>
      </c>
    </row>
    <row r="21" spans="1:7" x14ac:dyDescent="0.2">
      <c r="B21" s="3" t="s">
        <v>623</v>
      </c>
      <c r="C21" s="21">
        <f>SUM(C22:C36)</f>
        <v>6523610</v>
      </c>
      <c r="D21" s="21">
        <f>SUM(D22:D36)</f>
        <v>5237588</v>
      </c>
      <c r="E21" s="523">
        <f>D21-C21</f>
        <v>-1286022</v>
      </c>
    </row>
    <row r="22" spans="1:7" hidden="1" x14ac:dyDescent="0.2">
      <c r="A22" s="2">
        <v>100</v>
      </c>
      <c r="B22" s="3" t="s">
        <v>134</v>
      </c>
      <c r="C22" s="21">
        <f>'19_20 District Budget Summ-7'!L77</f>
        <v>4477420</v>
      </c>
      <c r="D22" s="21">
        <f>'PCFP-All Expense AA-1 Modif-7'!J3</f>
        <v>4477420</v>
      </c>
      <c r="E22" s="288"/>
    </row>
    <row r="23" spans="1:7" hidden="1" x14ac:dyDescent="0.2">
      <c r="A23" s="2">
        <v>200</v>
      </c>
      <c r="B23" s="3" t="s">
        <v>135</v>
      </c>
      <c r="C23" s="21">
        <f>'19_20 District Budget Summ-7'!L78</f>
        <v>1286022</v>
      </c>
      <c r="D23" s="21">
        <f>'PCFP-All Expense AA-1 Modif-7'!J4</f>
        <v>0</v>
      </c>
      <c r="E23" s="288"/>
    </row>
    <row r="24" spans="1:7" hidden="1" x14ac:dyDescent="0.2">
      <c r="A24" s="2" t="s">
        <v>10</v>
      </c>
      <c r="B24" s="3" t="s">
        <v>136</v>
      </c>
      <c r="C24" s="21">
        <f>'19_20 District Budget Summ-7'!L79</f>
        <v>0</v>
      </c>
      <c r="D24" s="21">
        <f>'PCFP-All Expense AA-1 Modif-7'!J5</f>
        <v>0</v>
      </c>
      <c r="E24" s="288"/>
    </row>
    <row r="25" spans="1:7" hidden="1" x14ac:dyDescent="0.2">
      <c r="A25" s="2">
        <v>270</v>
      </c>
      <c r="B25" s="3" t="s">
        <v>137</v>
      </c>
      <c r="C25" s="21">
        <f>'19_20 District Budget Summ-7'!L80</f>
        <v>0</v>
      </c>
      <c r="D25" s="21">
        <f>'PCFP-All Expense AA-1 Modif-7'!J6</f>
        <v>0</v>
      </c>
      <c r="E25" s="288"/>
    </row>
    <row r="26" spans="1:7" hidden="1" x14ac:dyDescent="0.2">
      <c r="A26" s="2" t="s">
        <v>10</v>
      </c>
      <c r="B26" s="3" t="s">
        <v>138</v>
      </c>
      <c r="C26" s="21">
        <f>'19_20 District Budget Summ-7'!L81</f>
        <v>0</v>
      </c>
      <c r="D26" s="21">
        <f>'PCFP-All Expense AA-1 Modif-7'!J7</f>
        <v>0</v>
      </c>
      <c r="E26" s="288"/>
    </row>
    <row r="27" spans="1:7" hidden="1" x14ac:dyDescent="0.2">
      <c r="A27" s="2">
        <v>300</v>
      </c>
      <c r="B27" s="3" t="s">
        <v>139</v>
      </c>
      <c r="C27" s="21">
        <f>'19_20 District Budget Summ-7'!L82</f>
        <v>425418</v>
      </c>
      <c r="D27" s="21">
        <f>'PCFP-All Expense AA-1 Modif-7'!J8</f>
        <v>0</v>
      </c>
      <c r="E27" s="288"/>
    </row>
    <row r="28" spans="1:7" hidden="1" x14ac:dyDescent="0.2">
      <c r="A28" s="2">
        <v>400</v>
      </c>
      <c r="B28" s="3" t="s">
        <v>140</v>
      </c>
      <c r="C28" s="21">
        <f>'19_20 District Budget Summ-7'!L83</f>
        <v>0</v>
      </c>
      <c r="D28" s="21">
        <f>'PCFP-All Expense AA-1 Modif-7'!J9</f>
        <v>0</v>
      </c>
      <c r="E28" s="288"/>
    </row>
    <row r="29" spans="1:7" hidden="1" x14ac:dyDescent="0.2">
      <c r="A29" s="2" t="s">
        <v>10</v>
      </c>
      <c r="B29" s="3" t="s">
        <v>141</v>
      </c>
      <c r="C29" s="21">
        <f>'19_20 District Budget Summ-7'!L84</f>
        <v>0</v>
      </c>
      <c r="D29" s="21">
        <f>'PCFP-All Expense AA-1 Modif-7'!J10</f>
        <v>425418</v>
      </c>
      <c r="E29" s="288"/>
    </row>
    <row r="30" spans="1:7" hidden="1" x14ac:dyDescent="0.2">
      <c r="A30" s="2" t="s">
        <v>10</v>
      </c>
      <c r="B30" s="3" t="s">
        <v>142</v>
      </c>
      <c r="C30" s="21">
        <f>'19_20 District Budget Summ-7'!L85</f>
        <v>0</v>
      </c>
      <c r="D30" s="21">
        <f>'PCFP-All Expense AA-1 Modif-7'!J11</f>
        <v>0</v>
      </c>
      <c r="E30" s="288"/>
    </row>
    <row r="31" spans="1:7" hidden="1" x14ac:dyDescent="0.2">
      <c r="A31" s="2">
        <v>440</v>
      </c>
      <c r="B31" s="3" t="s">
        <v>143</v>
      </c>
      <c r="C31" s="21">
        <f>'19_20 District Budget Summ-7'!L87</f>
        <v>0</v>
      </c>
      <c r="D31" s="21">
        <f>'PCFP-All Expense AA-1 Modif-7'!J12</f>
        <v>0</v>
      </c>
      <c r="E31" s="288"/>
    </row>
    <row r="32" spans="1:7" hidden="1" x14ac:dyDescent="0.2">
      <c r="A32" s="2">
        <v>500</v>
      </c>
      <c r="B32" s="3" t="s">
        <v>144</v>
      </c>
      <c r="C32" s="21">
        <f>'19_20 District Budget Summ-7'!L88</f>
        <v>0</v>
      </c>
      <c r="D32" s="21">
        <f>'PCFP-All Expense AA-1 Modif-7'!J13</f>
        <v>0</v>
      </c>
      <c r="E32" s="288"/>
    </row>
    <row r="33" spans="1:5" hidden="1" x14ac:dyDescent="0.2">
      <c r="A33" s="2">
        <v>600</v>
      </c>
      <c r="B33" s="3" t="s">
        <v>145</v>
      </c>
      <c r="C33" s="21">
        <f>'19_20 District Budget Summ-7'!L89</f>
        <v>0</v>
      </c>
      <c r="D33" s="21">
        <f>'PCFP-All Expense AA-1 Modif-7'!J14</f>
        <v>0</v>
      </c>
      <c r="E33" s="288"/>
    </row>
    <row r="34" spans="1:5" hidden="1" x14ac:dyDescent="0.2">
      <c r="A34" s="2">
        <v>800</v>
      </c>
      <c r="B34" s="3" t="s">
        <v>146</v>
      </c>
      <c r="C34" s="21">
        <f>'19_20 District Budget Summ-7'!L90</f>
        <v>0</v>
      </c>
      <c r="D34" s="21">
        <f>'PCFP-All Expense AA-1 Modif-7'!J15</f>
        <v>0</v>
      </c>
      <c r="E34" s="288"/>
    </row>
    <row r="35" spans="1:5" hidden="1" x14ac:dyDescent="0.2">
      <c r="A35" s="2">
        <v>910</v>
      </c>
      <c r="B35" s="3" t="s">
        <v>147</v>
      </c>
      <c r="C35" s="21">
        <f>'19_20 District Budget Summ-7'!L91</f>
        <v>334750</v>
      </c>
      <c r="D35" s="21">
        <f>'PCFP-All Expense AA-1 Modif-7'!J16</f>
        <v>334750</v>
      </c>
      <c r="E35" s="288"/>
    </row>
    <row r="36" spans="1:5" hidden="1" x14ac:dyDescent="0.2">
      <c r="A36" s="2">
        <v>920</v>
      </c>
      <c r="B36" s="3" t="s">
        <v>148</v>
      </c>
      <c r="C36" s="21">
        <f>'19_20 District Budget Summ-7'!L92</f>
        <v>0</v>
      </c>
      <c r="D36" s="21">
        <f>'PCFP-All Expense AA-1 Modif-7'!J17</f>
        <v>0</v>
      </c>
      <c r="E36" s="288"/>
    </row>
    <row r="37" spans="1:5" x14ac:dyDescent="0.2">
      <c r="B37" s="3"/>
      <c r="C37" s="21"/>
      <c r="D37" s="21"/>
      <c r="E37" s="288"/>
    </row>
    <row r="38" spans="1:5" x14ac:dyDescent="0.2">
      <c r="A38" s="1"/>
      <c r="B38" s="3" t="s">
        <v>150</v>
      </c>
      <c r="C38" s="21">
        <f>SUM(C39:C68)</f>
        <v>75077661</v>
      </c>
      <c r="D38" s="21">
        <f>SUM(D39:D68)</f>
        <v>35231696</v>
      </c>
      <c r="E38" s="21">
        <f>D38-C38</f>
        <v>-39845965</v>
      </c>
    </row>
    <row r="39" spans="1:5" hidden="1" x14ac:dyDescent="0.2">
      <c r="A39" s="2">
        <v>2100</v>
      </c>
      <c r="B39" s="3" t="s">
        <v>151</v>
      </c>
      <c r="C39" s="21">
        <f>'19_20 District Budget Summ-7'!L95</f>
        <v>315930</v>
      </c>
      <c r="D39" s="21">
        <f>'PCFP-All Expense AA-1 Modif-7'!J21</f>
        <v>265930</v>
      </c>
      <c r="E39" s="288"/>
    </row>
    <row r="40" spans="1:5" hidden="1" x14ac:dyDescent="0.2">
      <c r="A40" s="2">
        <v>2200</v>
      </c>
      <c r="B40" s="3" t="s">
        <v>152</v>
      </c>
      <c r="C40" s="21">
        <f>'19_20 District Budget Summ-7'!L96</f>
        <v>20750</v>
      </c>
      <c r="D40" s="21">
        <f>'PCFP-All Expense AA-1 Modif-7'!J22</f>
        <v>20750</v>
      </c>
      <c r="E40" s="288"/>
    </row>
    <row r="41" spans="1:5" hidden="1" x14ac:dyDescent="0.2">
      <c r="A41" s="2">
        <v>2300</v>
      </c>
      <c r="B41" s="3" t="s">
        <v>153</v>
      </c>
      <c r="C41" s="21">
        <f>'19_20 District Budget Summ-7'!L97</f>
        <v>1255350</v>
      </c>
      <c r="D41" s="21">
        <f>'PCFP-All Expense AA-1 Modif-7'!J23</f>
        <v>1255350</v>
      </c>
      <c r="E41" s="288"/>
    </row>
    <row r="42" spans="1:5" hidden="1" x14ac:dyDescent="0.2">
      <c r="A42" s="2">
        <v>2400</v>
      </c>
      <c r="B42" s="3" t="s">
        <v>154</v>
      </c>
      <c r="C42" s="21">
        <f>'19_20 District Budget Summ-7'!L98</f>
        <v>584838</v>
      </c>
      <c r="D42" s="21">
        <f>'PCFP-All Expense AA-1 Modif-7'!J24</f>
        <v>584838</v>
      </c>
      <c r="E42" s="288"/>
    </row>
    <row r="43" spans="1:5" hidden="1" x14ac:dyDescent="0.2">
      <c r="A43" s="2">
        <v>2500</v>
      </c>
      <c r="B43" s="3" t="s">
        <v>155</v>
      </c>
      <c r="C43" s="21">
        <f>'19_20 District Budget Summ-7'!L99</f>
        <v>423425</v>
      </c>
      <c r="D43" s="21">
        <f>'PCFP-All Expense AA-1 Modif-7'!J25</f>
        <v>423425</v>
      </c>
      <c r="E43" s="288"/>
    </row>
    <row r="44" spans="1:5" hidden="1" x14ac:dyDescent="0.2">
      <c r="A44" s="2">
        <v>2600</v>
      </c>
      <c r="B44" s="3" t="s">
        <v>156</v>
      </c>
      <c r="C44" s="21">
        <f>'19_20 District Budget Summ-7'!L100</f>
        <v>1794150</v>
      </c>
      <c r="D44" s="21">
        <f>'PCFP-All Expense AA-1 Modif-7'!J26</f>
        <v>1499150</v>
      </c>
      <c r="E44" s="288"/>
    </row>
    <row r="45" spans="1:5" hidden="1" x14ac:dyDescent="0.2">
      <c r="A45" s="2">
        <v>2700</v>
      </c>
      <c r="B45" s="3" t="s">
        <v>157</v>
      </c>
      <c r="C45" s="21">
        <f>'19_20 District Budget Summ-7'!L101</f>
        <v>482800</v>
      </c>
      <c r="D45" s="21">
        <f>'PCFP-All Expense AA-1 Modif-7'!J27</f>
        <v>482800</v>
      </c>
      <c r="E45" s="288"/>
    </row>
    <row r="46" spans="1:5" hidden="1" x14ac:dyDescent="0.2">
      <c r="A46" s="2">
        <v>2900</v>
      </c>
      <c r="B46" s="3" t="s">
        <v>158</v>
      </c>
      <c r="C46" s="21">
        <f>'19_20 District Budget Summ-7'!L102</f>
        <v>25000</v>
      </c>
      <c r="D46" s="21">
        <f>'PCFP-All Expense AA-1 Modif-7'!J28</f>
        <v>25000</v>
      </c>
      <c r="E46" s="288"/>
    </row>
    <row r="47" spans="1:5" hidden="1" x14ac:dyDescent="0.2">
      <c r="A47" s="2">
        <v>3000</v>
      </c>
      <c r="B47" s="3" t="s">
        <v>159</v>
      </c>
      <c r="C47" s="21">
        <f>'19_20 District Budget Summ-7'!L103</f>
        <v>0</v>
      </c>
      <c r="D47" s="21">
        <f>'PCFP-All Expense AA-1 Modif-7'!J29</f>
        <v>0</v>
      </c>
      <c r="E47" s="288"/>
    </row>
    <row r="48" spans="1:5" hidden="1" x14ac:dyDescent="0.2">
      <c r="A48" s="2">
        <v>3100</v>
      </c>
      <c r="B48" s="3" t="s">
        <v>160</v>
      </c>
      <c r="C48" s="21">
        <f>'19_20 District Budget Summ-7'!L104</f>
        <v>451600</v>
      </c>
      <c r="D48" s="21">
        <f>'PCFP-All Expense AA-1 Modif-7'!J30</f>
        <v>451600</v>
      </c>
      <c r="E48" s="288"/>
    </row>
    <row r="49" spans="1:5" hidden="1" x14ac:dyDescent="0.2">
      <c r="A49" s="2">
        <v>3200</v>
      </c>
      <c r="B49" s="3" t="s">
        <v>161</v>
      </c>
      <c r="C49" s="21">
        <f>'19_20 District Budget Summ-7'!L105</f>
        <v>0</v>
      </c>
      <c r="D49" s="21">
        <f>'PCFP-All Expense AA-1 Modif-7'!J31</f>
        <v>0</v>
      </c>
      <c r="E49" s="288"/>
    </row>
    <row r="50" spans="1:5" hidden="1" x14ac:dyDescent="0.2">
      <c r="A50" s="2">
        <v>3300</v>
      </c>
      <c r="B50" s="3" t="s">
        <v>162</v>
      </c>
      <c r="C50" s="21">
        <f>'19_20 District Budget Summ-7'!L106</f>
        <v>0</v>
      </c>
      <c r="D50" s="21">
        <f>'PCFP-All Expense AA-1 Modif-7'!J32</f>
        <v>0</v>
      </c>
      <c r="E50" s="288"/>
    </row>
    <row r="51" spans="1:5" hidden="1" x14ac:dyDescent="0.2">
      <c r="A51" s="2">
        <v>4000</v>
      </c>
      <c r="B51" s="3" t="s">
        <v>164</v>
      </c>
      <c r="C51" s="21">
        <f>'19_20 District Budget Summ-7'!L107</f>
        <v>0</v>
      </c>
      <c r="D51" s="21">
        <f>'PCFP-All Expense AA-1 Modif-7'!J33</f>
        <v>0</v>
      </c>
      <c r="E51" s="288"/>
    </row>
    <row r="52" spans="1:5" hidden="1" x14ac:dyDescent="0.2">
      <c r="A52" s="2">
        <v>4100</v>
      </c>
      <c r="B52" s="3" t="s">
        <v>163</v>
      </c>
      <c r="C52" s="21">
        <f>'19_20 District Budget Summ-7'!L108</f>
        <v>0</v>
      </c>
      <c r="D52" s="21">
        <f>'PCFP-All Expense AA-1 Modif-7'!J34</f>
        <v>0</v>
      </c>
      <c r="E52" s="288"/>
    </row>
    <row r="53" spans="1:5" hidden="1" x14ac:dyDescent="0.2">
      <c r="A53" s="2">
        <v>4200</v>
      </c>
      <c r="B53" s="3" t="s">
        <v>165</v>
      </c>
      <c r="C53" s="21">
        <f>'19_20 District Budget Summ-7'!L109</f>
        <v>0</v>
      </c>
      <c r="D53" s="21">
        <f>'PCFP-All Expense AA-1 Modif-7'!J35</f>
        <v>0</v>
      </c>
      <c r="E53" s="288"/>
    </row>
    <row r="54" spans="1:5" hidden="1" x14ac:dyDescent="0.2">
      <c r="A54" s="2">
        <v>4300</v>
      </c>
      <c r="B54" s="3" t="s">
        <v>166</v>
      </c>
      <c r="C54" s="21">
        <f>'19_20 District Budget Summ-7'!L110</f>
        <v>0</v>
      </c>
      <c r="D54" s="21">
        <f>'PCFP-All Expense AA-1 Modif-7'!J36</f>
        <v>0</v>
      </c>
      <c r="E54" s="288"/>
    </row>
    <row r="55" spans="1:5" hidden="1" x14ac:dyDescent="0.2">
      <c r="A55" s="2">
        <v>4400</v>
      </c>
      <c r="B55" s="3" t="s">
        <v>167</v>
      </c>
      <c r="C55" s="21">
        <f>'19_20 District Budget Summ-7'!L111</f>
        <v>0</v>
      </c>
      <c r="D55" s="21">
        <f>'PCFP-All Expense AA-1 Modif-7'!J37</f>
        <v>0</v>
      </c>
      <c r="E55" s="288"/>
    </row>
    <row r="56" spans="1:5" hidden="1" x14ac:dyDescent="0.2">
      <c r="A56" s="2">
        <v>4500</v>
      </c>
      <c r="B56" s="3" t="s">
        <v>168</v>
      </c>
      <c r="C56" s="21">
        <f>'19_20 District Budget Summ-7'!L112</f>
        <v>5245000</v>
      </c>
      <c r="D56" s="21">
        <f>'PCFP-All Expense AA-1 Modif-7'!J38</f>
        <v>0</v>
      </c>
      <c r="E56" s="288"/>
    </row>
    <row r="57" spans="1:5" hidden="1" x14ac:dyDescent="0.2">
      <c r="A57" s="2">
        <v>4600</v>
      </c>
      <c r="B57" s="3" t="s">
        <v>169</v>
      </c>
      <c r="C57" s="21">
        <f>'19_20 District Budget Summ-7'!L113</f>
        <v>0</v>
      </c>
      <c r="D57" s="21">
        <f>'PCFP-All Expense AA-1 Modif-7'!J39</f>
        <v>0</v>
      </c>
      <c r="E57" s="288"/>
    </row>
    <row r="58" spans="1:5" hidden="1" x14ac:dyDescent="0.2">
      <c r="A58" s="2">
        <v>4700</v>
      </c>
      <c r="B58" s="3" t="s">
        <v>170</v>
      </c>
      <c r="C58" s="21">
        <f>'19_20 District Budget Summ-7'!L114</f>
        <v>0</v>
      </c>
      <c r="D58" s="21">
        <f>'PCFP-All Expense AA-1 Modif-7'!J40</f>
        <v>0</v>
      </c>
      <c r="E58" s="288"/>
    </row>
    <row r="59" spans="1:5" hidden="1" x14ac:dyDescent="0.2">
      <c r="A59" s="2">
        <v>4900</v>
      </c>
      <c r="B59" s="3" t="s">
        <v>171</v>
      </c>
      <c r="C59" s="21">
        <f>'19_20 District Budget Summ-7'!L115</f>
        <v>0</v>
      </c>
      <c r="D59" s="21">
        <f>'PCFP-All Expense AA-1 Modif-7'!J41</f>
        <v>0</v>
      </c>
      <c r="E59" s="288"/>
    </row>
    <row r="60" spans="1:5" hidden="1" x14ac:dyDescent="0.2">
      <c r="A60" s="2">
        <v>5000</v>
      </c>
      <c r="B60" s="3" t="s">
        <v>172</v>
      </c>
      <c r="C60" s="21">
        <f>'19_20 District Budget Summ-7'!L116</f>
        <v>0</v>
      </c>
      <c r="D60" s="21">
        <f>'PCFP-All Expense AA-1 Modif-7'!J42</f>
        <v>0</v>
      </c>
      <c r="E60" s="288"/>
    </row>
    <row r="61" spans="1:5" hidden="1" x14ac:dyDescent="0.2">
      <c r="A61" s="2">
        <v>5000</v>
      </c>
      <c r="B61" s="3" t="s">
        <v>173</v>
      </c>
      <c r="C61" s="21">
        <f>'19_20 District Budget Summ-7'!L117</f>
        <v>0</v>
      </c>
      <c r="D61" s="21">
        <f>'PCFP-All Expense AA-1 Modif-7'!J43</f>
        <v>0</v>
      </c>
      <c r="E61" s="288"/>
    </row>
    <row r="62" spans="1:5" hidden="1" x14ac:dyDescent="0.2">
      <c r="A62" s="2">
        <v>6100</v>
      </c>
      <c r="B62" s="3" t="s">
        <v>174</v>
      </c>
      <c r="C62" s="21">
        <f>'19_20 District Budget Summ-7'!L118</f>
        <v>0</v>
      </c>
      <c r="D62" s="21">
        <f>'PCFP-All Expense AA-1 Modif-7'!J44</f>
        <v>0</v>
      </c>
      <c r="E62" s="288"/>
    </row>
    <row r="63" spans="1:5" hidden="1" x14ac:dyDescent="0.2">
      <c r="A63" s="2">
        <v>6200</v>
      </c>
      <c r="B63" s="3" t="s">
        <v>175</v>
      </c>
      <c r="C63" s="21">
        <f>'19_20 District Budget Summ-7'!L119</f>
        <v>5200000</v>
      </c>
      <c r="D63" s="21">
        <f>'PCFP-All Expense AA-1 Modif-7'!J45</f>
        <v>5200000</v>
      </c>
      <c r="E63" s="288"/>
    </row>
    <row r="64" spans="1:5" hidden="1" x14ac:dyDescent="0.2">
      <c r="A64" s="2">
        <v>6300</v>
      </c>
      <c r="B64" s="3" t="s">
        <v>176</v>
      </c>
      <c r="C64" s="21">
        <f>'19_20 District Budget Summ-7'!L120</f>
        <v>150000</v>
      </c>
      <c r="D64" s="21">
        <f>'PCFP-All Expense AA-1 Modif-7'!J46</f>
        <v>150000</v>
      </c>
      <c r="E64" s="288"/>
    </row>
    <row r="65" spans="1:5" hidden="1" x14ac:dyDescent="0.2">
      <c r="A65" s="2">
        <v>8000</v>
      </c>
      <c r="B65" s="3" t="s">
        <v>177</v>
      </c>
      <c r="C65" s="21">
        <f>'19_20 District Budget Summ-7'!L121</f>
        <v>59128818</v>
      </c>
      <c r="D65" s="21">
        <f>'PCFP-All Expense AA-1 Modif-7'!J47</f>
        <v>21483050</v>
      </c>
      <c r="E65" s="288"/>
    </row>
    <row r="66" spans="1:5" hidden="1" x14ac:dyDescent="0.2">
      <c r="B66" s="3" t="s">
        <v>445</v>
      </c>
      <c r="C66" s="21">
        <v>0</v>
      </c>
      <c r="D66" s="21">
        <f>'PCFP-All Expense AA-1 Modif-7'!J48</f>
        <v>0</v>
      </c>
      <c r="E66" s="288"/>
    </row>
    <row r="67" spans="1:5" hidden="1" x14ac:dyDescent="0.2">
      <c r="B67" s="3" t="s">
        <v>446</v>
      </c>
      <c r="C67" s="21">
        <v>0</v>
      </c>
      <c r="D67" s="21">
        <f>'PCFP-All Expense AA-1 Modif-7'!J49</f>
        <v>3389803</v>
      </c>
      <c r="E67" s="288"/>
    </row>
    <row r="68" spans="1:5" hidden="1" x14ac:dyDescent="0.2">
      <c r="B68" s="3" t="s">
        <v>255</v>
      </c>
      <c r="C68" s="21">
        <v>0</v>
      </c>
      <c r="D68" s="21">
        <f>'PCFP-All Expense AA-1 Modif-7'!J50</f>
        <v>0</v>
      </c>
      <c r="E68" s="288"/>
    </row>
    <row r="69" spans="1:5" x14ac:dyDescent="0.2">
      <c r="B69" s="3"/>
      <c r="C69" s="21"/>
      <c r="D69" s="21"/>
      <c r="E69" s="288"/>
    </row>
    <row r="70" spans="1:5" s="2" customFormat="1" x14ac:dyDescent="0.2">
      <c r="A70" s="53"/>
      <c r="B70" s="3" t="s">
        <v>624</v>
      </c>
      <c r="C70" s="21">
        <f>SUM(C71:C159)</f>
        <v>-5200000</v>
      </c>
      <c r="D70" s="21">
        <f>SUM(D71:D159)</f>
        <v>35931987</v>
      </c>
      <c r="E70" s="21">
        <f>D70-C70</f>
        <v>41131987</v>
      </c>
    </row>
    <row r="71" spans="1:5" hidden="1" x14ac:dyDescent="0.2">
      <c r="B71" t="s">
        <v>179</v>
      </c>
      <c r="C71" s="12">
        <f>'19_20 District Budget Summ-7'!L124</f>
        <v>0</v>
      </c>
      <c r="D71" s="12">
        <f>'PCFP-All Expense AA-1 Modif-7'!J56</f>
        <v>0</v>
      </c>
      <c r="E71" s="288"/>
    </row>
    <row r="72" spans="1:5" hidden="1" x14ac:dyDescent="0.2">
      <c r="B72" t="s">
        <v>145</v>
      </c>
      <c r="C72" s="12">
        <f>'19_20 District Budget Summ-7'!L125</f>
        <v>0</v>
      </c>
      <c r="D72" s="12">
        <f>'PCFP-All Expense AA-1 Modif-7'!J57</f>
        <v>0</v>
      </c>
      <c r="E72" s="288"/>
    </row>
    <row r="73" spans="1:5" hidden="1" x14ac:dyDescent="0.2">
      <c r="B73" t="s">
        <v>180</v>
      </c>
      <c r="C73" s="12">
        <f>'19_20 District Budget Summ-7'!L126</f>
        <v>0</v>
      </c>
      <c r="D73" s="12">
        <f>'PCFP-All Expense AA-1 Modif-7'!J58</f>
        <v>0</v>
      </c>
      <c r="E73" s="288"/>
    </row>
    <row r="74" spans="1:5" hidden="1" x14ac:dyDescent="0.2">
      <c r="B74" t="s">
        <v>181</v>
      </c>
      <c r="C74" s="12">
        <f>'19_20 District Budget Summ-7'!L127</f>
        <v>0</v>
      </c>
      <c r="D74" s="12">
        <f>'PCFP-All Expense AA-1 Modif-7'!J59</f>
        <v>0</v>
      </c>
      <c r="E74" s="288"/>
    </row>
    <row r="75" spans="1:5" hidden="1" x14ac:dyDescent="0.2">
      <c r="B75" t="s">
        <v>182</v>
      </c>
      <c r="C75" s="12">
        <f>'19_20 District Budget Summ-7'!L128</f>
        <v>0</v>
      </c>
      <c r="D75" s="12">
        <f>'PCFP-All Expense AA-1 Modif-7'!J60</f>
        <v>0</v>
      </c>
      <c r="E75" s="288"/>
    </row>
    <row r="76" spans="1:5" hidden="1" x14ac:dyDescent="0.2">
      <c r="B76" t="s">
        <v>183</v>
      </c>
      <c r="C76" s="12">
        <f>'19_20 District Budget Summ-7'!L129</f>
        <v>0</v>
      </c>
      <c r="D76" s="12">
        <f>'PCFP-All Expense AA-1 Modif-7'!J61</f>
        <v>0</v>
      </c>
      <c r="E76" s="288"/>
    </row>
    <row r="77" spans="1:5" hidden="1" x14ac:dyDescent="0.2">
      <c r="B77" t="s">
        <v>184</v>
      </c>
      <c r="C77" s="12">
        <f>'19_20 District Budget Summ-7'!L130</f>
        <v>0</v>
      </c>
      <c r="D77" s="12">
        <f>'PCFP-All Expense AA-1 Modif-7'!J62</f>
        <v>0</v>
      </c>
      <c r="E77" s="288"/>
    </row>
    <row r="78" spans="1:5" hidden="1" x14ac:dyDescent="0.2">
      <c r="B78" t="s">
        <v>185</v>
      </c>
      <c r="C78" s="12">
        <f>'19_20 District Budget Summ-7'!L131</f>
        <v>0</v>
      </c>
      <c r="D78" s="12">
        <f>'PCFP-All Expense AA-1 Modif-7'!J63</f>
        <v>589683</v>
      </c>
      <c r="E78" s="288"/>
    </row>
    <row r="79" spans="1:5" hidden="1" x14ac:dyDescent="0.2">
      <c r="B79" t="s">
        <v>186</v>
      </c>
      <c r="C79" s="12">
        <f>'19_20 District Budget Summ-7'!L132</f>
        <v>0</v>
      </c>
      <c r="D79" s="12">
        <f>'PCFP-All Expense AA-1 Modif-7'!J64</f>
        <v>0</v>
      </c>
      <c r="E79" s="288"/>
    </row>
    <row r="80" spans="1:5" hidden="1" x14ac:dyDescent="0.2">
      <c r="B80" t="s">
        <v>187</v>
      </c>
      <c r="C80" s="12">
        <f>'19_20 District Budget Summ-7'!L133</f>
        <v>0</v>
      </c>
      <c r="D80" s="12">
        <f>'PCFP-All Expense AA-1 Modif-7'!J65</f>
        <v>0</v>
      </c>
      <c r="E80" s="288"/>
    </row>
    <row r="81" spans="2:5" hidden="1" x14ac:dyDescent="0.2">
      <c r="B81" t="s">
        <v>188</v>
      </c>
      <c r="C81" s="12">
        <f>'19_20 District Budget Summ-7'!L134</f>
        <v>-5000000</v>
      </c>
      <c r="D81" s="12">
        <f>'PCFP-All Expense AA-1 Modif-7'!J66</f>
        <v>7144774</v>
      </c>
      <c r="E81" s="288"/>
    </row>
    <row r="82" spans="2:5" hidden="1" x14ac:dyDescent="0.2">
      <c r="B82" t="s">
        <v>189</v>
      </c>
      <c r="C82" s="12">
        <f>'19_20 District Budget Summ-7'!L135</f>
        <v>0</v>
      </c>
      <c r="D82" s="12">
        <f>'PCFP-All Expense AA-1 Modif-7'!J67</f>
        <v>0</v>
      </c>
      <c r="E82" s="288"/>
    </row>
    <row r="83" spans="2:5" hidden="1" x14ac:dyDescent="0.2">
      <c r="B83" t="s">
        <v>190</v>
      </c>
      <c r="C83" s="12">
        <f>'19_20 District Budget Summ-7'!L136</f>
        <v>0</v>
      </c>
      <c r="D83" s="12">
        <f>'PCFP-All Expense AA-1 Modif-7'!J68</f>
        <v>0</v>
      </c>
      <c r="E83" s="288"/>
    </row>
    <row r="84" spans="2:5" hidden="1" x14ac:dyDescent="0.2">
      <c r="B84" t="s">
        <v>191</v>
      </c>
      <c r="C84" s="12">
        <f>'19_20 District Budget Summ-7'!L137</f>
        <v>0</v>
      </c>
      <c r="D84" s="12">
        <f>'PCFP-All Expense AA-1 Modif-7'!J69</f>
        <v>0</v>
      </c>
      <c r="E84" s="288"/>
    </row>
    <row r="85" spans="2:5" hidden="1" x14ac:dyDescent="0.2">
      <c r="B85" t="s">
        <v>192</v>
      </c>
      <c r="C85" s="12">
        <f>'19_20 District Budget Summ-7'!L138</f>
        <v>0</v>
      </c>
      <c r="D85" s="12">
        <f>'PCFP-All Expense AA-1 Modif-7'!J70</f>
        <v>0</v>
      </c>
      <c r="E85" s="288"/>
    </row>
    <row r="86" spans="2:5" hidden="1" x14ac:dyDescent="0.2">
      <c r="B86" t="s">
        <v>193</v>
      </c>
      <c r="C86" s="12">
        <f>'19_20 District Budget Summ-7'!L139</f>
        <v>0</v>
      </c>
      <c r="D86" s="12">
        <f>'PCFP-All Expense AA-1 Modif-7'!J71</f>
        <v>0</v>
      </c>
      <c r="E86" s="288"/>
    </row>
    <row r="87" spans="2:5" hidden="1" x14ac:dyDescent="0.2">
      <c r="B87" t="s">
        <v>194</v>
      </c>
      <c r="C87" s="12">
        <f>'19_20 District Budget Summ-7'!L140</f>
        <v>0</v>
      </c>
      <c r="D87" s="12">
        <f>'PCFP-All Expense AA-1 Modif-7'!J72</f>
        <v>0</v>
      </c>
      <c r="E87" s="288"/>
    </row>
    <row r="88" spans="2:5" hidden="1" x14ac:dyDescent="0.2">
      <c r="B88" t="s">
        <v>195</v>
      </c>
      <c r="C88" s="12">
        <f>'19_20 District Budget Summ-7'!L141</f>
        <v>0</v>
      </c>
      <c r="D88" s="12">
        <f>'PCFP-All Expense AA-1 Modif-7'!J73</f>
        <v>0</v>
      </c>
      <c r="E88" s="288"/>
    </row>
    <row r="89" spans="2:5" hidden="1" x14ac:dyDescent="0.2">
      <c r="B89" t="s">
        <v>196</v>
      </c>
      <c r="C89" s="12">
        <f>'19_20 District Budget Summ-7'!L142</f>
        <v>0</v>
      </c>
      <c r="D89" s="12">
        <f>'PCFP-All Expense AA-1 Modif-7'!J74</f>
        <v>0</v>
      </c>
      <c r="E89" s="288"/>
    </row>
    <row r="90" spans="2:5" hidden="1" x14ac:dyDescent="0.2">
      <c r="B90" t="s">
        <v>197</v>
      </c>
      <c r="C90" s="12">
        <f>'19_20 District Budget Summ-7'!L143</f>
        <v>0</v>
      </c>
      <c r="D90" s="12">
        <f>'PCFP-All Expense AA-1 Modif-7'!J75</f>
        <v>0</v>
      </c>
      <c r="E90" s="288"/>
    </row>
    <row r="91" spans="2:5" hidden="1" x14ac:dyDescent="0.2">
      <c r="B91" t="s">
        <v>198</v>
      </c>
      <c r="C91" s="12">
        <f>'19_20 District Budget Summ-7'!L144</f>
        <v>0</v>
      </c>
      <c r="D91" s="12">
        <f>'PCFP-All Expense AA-1 Modif-7'!J76</f>
        <v>0</v>
      </c>
      <c r="E91" s="288"/>
    </row>
    <row r="92" spans="2:5" hidden="1" x14ac:dyDescent="0.2">
      <c r="B92" t="s">
        <v>199</v>
      </c>
      <c r="C92" s="12">
        <f>'19_20 District Budget Summ-7'!L145</f>
        <v>0</v>
      </c>
      <c r="D92" s="12">
        <f>'PCFP-All Expense AA-1 Modif-7'!J77</f>
        <v>0</v>
      </c>
      <c r="E92" s="288"/>
    </row>
    <row r="93" spans="2:5" hidden="1" x14ac:dyDescent="0.2">
      <c r="B93" t="s">
        <v>200</v>
      </c>
      <c r="C93" s="12">
        <f>'19_20 District Budget Summ-7'!L146</f>
        <v>0</v>
      </c>
      <c r="D93" s="12">
        <f>'PCFP-All Expense AA-1 Modif-7'!J78</f>
        <v>0</v>
      </c>
      <c r="E93" s="288"/>
    </row>
    <row r="94" spans="2:5" hidden="1" x14ac:dyDescent="0.2">
      <c r="B94" t="s">
        <v>201</v>
      </c>
      <c r="C94" s="12">
        <f>'19_20 District Budget Summ-7'!L147</f>
        <v>0</v>
      </c>
      <c r="D94" s="12">
        <f>'PCFP-All Expense AA-1 Modif-7'!J79</f>
        <v>0</v>
      </c>
      <c r="E94" s="288"/>
    </row>
    <row r="95" spans="2:5" hidden="1" x14ac:dyDescent="0.2">
      <c r="B95" t="s">
        <v>202</v>
      </c>
      <c r="C95" s="12">
        <f>'19_20 District Budget Summ-7'!L148</f>
        <v>0</v>
      </c>
      <c r="D95" s="12">
        <f>'PCFP-All Expense AA-1 Modif-7'!J80</f>
        <v>0</v>
      </c>
      <c r="E95" s="288"/>
    </row>
    <row r="96" spans="2:5" hidden="1" x14ac:dyDescent="0.2">
      <c r="B96" t="s">
        <v>203</v>
      </c>
      <c r="C96" s="12">
        <f>'19_20 District Budget Summ-7'!L149</f>
        <v>0</v>
      </c>
      <c r="D96" s="12">
        <f>'PCFP-All Expense AA-1 Modif-7'!J81</f>
        <v>0</v>
      </c>
      <c r="E96" s="288"/>
    </row>
    <row r="97" spans="2:5" hidden="1" x14ac:dyDescent="0.2">
      <c r="B97" t="s">
        <v>204</v>
      </c>
      <c r="C97" s="12">
        <f>'19_20 District Budget Summ-7'!L150</f>
        <v>0</v>
      </c>
      <c r="D97" s="12">
        <f>'PCFP-All Expense AA-1 Modif-7'!J82</f>
        <v>310822</v>
      </c>
      <c r="E97" s="288"/>
    </row>
    <row r="98" spans="2:5" hidden="1" x14ac:dyDescent="0.2">
      <c r="B98" t="s">
        <v>205</v>
      </c>
      <c r="C98" s="12">
        <f>'19_20 District Budget Summ-7'!L151</f>
        <v>0</v>
      </c>
      <c r="D98" s="12">
        <f>'PCFP-All Expense AA-1 Modif-7'!J83</f>
        <v>0</v>
      </c>
      <c r="E98" s="288"/>
    </row>
    <row r="99" spans="2:5" hidden="1" x14ac:dyDescent="0.2">
      <c r="B99" t="s">
        <v>206</v>
      </c>
      <c r="C99" s="12">
        <f>'19_20 District Budget Summ-7'!L152</f>
        <v>0</v>
      </c>
      <c r="D99" s="12">
        <f>'PCFP-All Expense AA-1 Modif-7'!J84</f>
        <v>0</v>
      </c>
      <c r="E99" s="288"/>
    </row>
    <row r="100" spans="2:5" hidden="1" x14ac:dyDescent="0.2">
      <c r="B100" t="s">
        <v>207</v>
      </c>
      <c r="C100" s="12">
        <f>'19_20 District Budget Summ-7'!L153</f>
        <v>0</v>
      </c>
      <c r="D100" s="12">
        <f>'PCFP-All Expense AA-1 Modif-7'!J85</f>
        <v>0</v>
      </c>
      <c r="E100" s="288"/>
    </row>
    <row r="101" spans="2:5" hidden="1" x14ac:dyDescent="0.2">
      <c r="B101" t="s">
        <v>208</v>
      </c>
      <c r="C101" s="12">
        <f>'19_20 District Budget Summ-7'!L154</f>
        <v>0</v>
      </c>
      <c r="D101" s="12">
        <f>'PCFP-All Expense AA-1 Modif-7'!J86</f>
        <v>0</v>
      </c>
      <c r="E101" s="288"/>
    </row>
    <row r="102" spans="2:5" hidden="1" x14ac:dyDescent="0.2">
      <c r="B102" t="s">
        <v>209</v>
      </c>
      <c r="C102" s="12">
        <f>'19_20 District Budget Summ-7'!L155</f>
        <v>0</v>
      </c>
      <c r="D102" s="12">
        <f>'PCFP-All Expense AA-1 Modif-7'!J87</f>
        <v>0</v>
      </c>
      <c r="E102" s="288"/>
    </row>
    <row r="103" spans="2:5" hidden="1" x14ac:dyDescent="0.2">
      <c r="B103" t="s">
        <v>210</v>
      </c>
      <c r="C103" s="12">
        <f>'19_20 District Budget Summ-7'!L156</f>
        <v>0</v>
      </c>
      <c r="D103" s="12">
        <f>'PCFP-All Expense AA-1 Modif-7'!J88</f>
        <v>0</v>
      </c>
      <c r="E103" s="288"/>
    </row>
    <row r="104" spans="2:5" hidden="1" x14ac:dyDescent="0.2">
      <c r="B104" t="s">
        <v>211</v>
      </c>
      <c r="C104" s="12">
        <f>'19_20 District Budget Summ-7'!L157</f>
        <v>0</v>
      </c>
      <c r="D104" s="12">
        <f>'PCFP-All Expense AA-1 Modif-7'!J89</f>
        <v>0</v>
      </c>
      <c r="E104" s="288"/>
    </row>
    <row r="105" spans="2:5" hidden="1" x14ac:dyDescent="0.2">
      <c r="B105" t="s">
        <v>212</v>
      </c>
      <c r="C105" s="12">
        <f>'19_20 District Budget Summ-7'!L158</f>
        <v>0</v>
      </c>
      <c r="D105" s="12">
        <f>'PCFP-All Expense AA-1 Modif-7'!J90</f>
        <v>0</v>
      </c>
      <c r="E105" s="288"/>
    </row>
    <row r="106" spans="2:5" hidden="1" x14ac:dyDescent="0.2">
      <c r="B106" t="s">
        <v>213</v>
      </c>
      <c r="C106" s="12">
        <f>'19_20 District Budget Summ-7'!L159</f>
        <v>0</v>
      </c>
      <c r="D106" s="12">
        <f>'PCFP-All Expense AA-1 Modif-7'!J91</f>
        <v>0</v>
      </c>
      <c r="E106" s="288"/>
    </row>
    <row r="107" spans="2:5" hidden="1" x14ac:dyDescent="0.2">
      <c r="B107" t="s">
        <v>214</v>
      </c>
      <c r="C107" s="12">
        <f>'19_20 District Budget Summ-7'!L160</f>
        <v>0</v>
      </c>
      <c r="D107" s="12">
        <f>'PCFP-All Expense AA-1 Modif-7'!J92</f>
        <v>0</v>
      </c>
      <c r="E107" s="288"/>
    </row>
    <row r="108" spans="2:5" hidden="1" x14ac:dyDescent="0.2">
      <c r="B108" t="s">
        <v>215</v>
      </c>
      <c r="C108" s="12">
        <f>'19_20 District Budget Summ-7'!L161</f>
        <v>0</v>
      </c>
      <c r="D108" s="12">
        <f>'PCFP-All Expense AA-1 Modif-7'!J93</f>
        <v>0</v>
      </c>
      <c r="E108" s="288"/>
    </row>
    <row r="109" spans="2:5" hidden="1" x14ac:dyDescent="0.2">
      <c r="B109" t="s">
        <v>216</v>
      </c>
      <c r="C109" s="12">
        <f>'19_20 District Budget Summ-7'!L162</f>
        <v>0</v>
      </c>
      <c r="D109" s="12">
        <f>'PCFP-All Expense AA-1 Modif-7'!J94</f>
        <v>31000000</v>
      </c>
      <c r="E109" s="288"/>
    </row>
    <row r="110" spans="2:5" hidden="1" x14ac:dyDescent="0.2">
      <c r="B110" t="s">
        <v>217</v>
      </c>
      <c r="C110" s="12">
        <f>'19_20 District Budget Summ-7'!L163</f>
        <v>0</v>
      </c>
      <c r="D110" s="12">
        <f>'PCFP-All Expense AA-1 Modif-7'!J95</f>
        <v>0</v>
      </c>
      <c r="E110" s="288"/>
    </row>
    <row r="111" spans="2:5" hidden="1" x14ac:dyDescent="0.2">
      <c r="B111" t="s">
        <v>218</v>
      </c>
      <c r="C111" s="12">
        <f>'19_20 District Budget Summ-7'!L164</f>
        <v>0</v>
      </c>
      <c r="D111" s="12">
        <f>'PCFP-All Expense AA-1 Modif-7'!J96</f>
        <v>0</v>
      </c>
      <c r="E111" s="288"/>
    </row>
    <row r="112" spans="2:5" hidden="1" x14ac:dyDescent="0.2">
      <c r="B112" t="s">
        <v>219</v>
      </c>
      <c r="C112" s="12">
        <f>'19_20 District Budget Summ-7'!L165</f>
        <v>0</v>
      </c>
      <c r="D112" s="12">
        <f>'PCFP-All Expense AA-1 Modif-7'!J97</f>
        <v>0</v>
      </c>
      <c r="E112" s="288"/>
    </row>
    <row r="113" spans="1:5" hidden="1" x14ac:dyDescent="0.2">
      <c r="B113" t="s">
        <v>220</v>
      </c>
      <c r="C113" s="12">
        <f>'19_20 District Budget Summ-7'!L166</f>
        <v>0</v>
      </c>
      <c r="D113" s="12">
        <f>'PCFP-All Expense AA-1 Modif-7'!J98</f>
        <v>0</v>
      </c>
      <c r="E113" s="288"/>
    </row>
    <row r="114" spans="1:5" hidden="1" x14ac:dyDescent="0.2">
      <c r="B114" t="s">
        <v>221</v>
      </c>
      <c r="C114" s="12">
        <f>'19_20 District Budget Summ-7'!L167</f>
        <v>0</v>
      </c>
      <c r="D114" s="12">
        <f>'PCFP-All Expense AA-1 Modif-7'!J99</f>
        <v>0</v>
      </c>
      <c r="E114" s="288"/>
    </row>
    <row r="115" spans="1:5" hidden="1" x14ac:dyDescent="0.2">
      <c r="A115" s="2" t="s">
        <v>10</v>
      </c>
      <c r="B115" t="s">
        <v>142</v>
      </c>
      <c r="C115" s="12">
        <f>'19_20 District Budget Summ-7'!L168</f>
        <v>0</v>
      </c>
      <c r="D115" s="12">
        <f>'PCFP-All Expense AA-1 Modif-7'!J100</f>
        <v>0</v>
      </c>
      <c r="E115" s="288"/>
    </row>
    <row r="116" spans="1:5" hidden="1" x14ac:dyDescent="0.2">
      <c r="A116" s="2" t="s">
        <v>10</v>
      </c>
      <c r="B116" t="s">
        <v>141</v>
      </c>
      <c r="C116" s="12">
        <f>'19_20 District Budget Summ-7'!L169</f>
        <v>0</v>
      </c>
      <c r="D116" s="12">
        <f>'PCFP-All Expense AA-1 Modif-7'!J101</f>
        <v>0</v>
      </c>
      <c r="E116" s="288"/>
    </row>
    <row r="117" spans="1:5" hidden="1" x14ac:dyDescent="0.2">
      <c r="A117" s="2" t="s">
        <v>33</v>
      </c>
      <c r="B117" t="s">
        <v>222</v>
      </c>
      <c r="C117" s="12">
        <f>'19_20 District Budget Summ-7'!L170</f>
        <v>0</v>
      </c>
      <c r="D117" s="12">
        <f>'PCFP-All Expense AA-1 Modif-7'!J102</f>
        <v>0</v>
      </c>
      <c r="E117" s="288"/>
    </row>
    <row r="118" spans="1:5" hidden="1" x14ac:dyDescent="0.2">
      <c r="A118" s="2" t="s">
        <v>10</v>
      </c>
      <c r="B118" t="s">
        <v>138</v>
      </c>
      <c r="C118" s="12">
        <f>'19_20 District Budget Summ-7'!L171</f>
        <v>0</v>
      </c>
      <c r="D118" s="12">
        <f>'PCFP-All Expense AA-1 Modif-7'!J103</f>
        <v>0</v>
      </c>
      <c r="E118" s="288"/>
    </row>
    <row r="119" spans="1:5" hidden="1" x14ac:dyDescent="0.2">
      <c r="A119" s="2" t="s">
        <v>10</v>
      </c>
      <c r="B119" t="s">
        <v>136</v>
      </c>
      <c r="C119" s="12">
        <f>'19_20 District Budget Summ-7'!L172</f>
        <v>0</v>
      </c>
      <c r="D119" s="12">
        <f>'PCFP-All Expense AA-1 Modif-7'!J104</f>
        <v>0</v>
      </c>
      <c r="E119" s="288"/>
    </row>
    <row r="120" spans="1:5" hidden="1" x14ac:dyDescent="0.2">
      <c r="B120" t="s">
        <v>223</v>
      </c>
      <c r="C120" s="12">
        <f>'19_20 District Budget Summ-7'!L173</f>
        <v>0</v>
      </c>
      <c r="D120" s="12">
        <f>'PCFP-All Expense AA-1 Modif-7'!J105</f>
        <v>0</v>
      </c>
      <c r="E120" s="288"/>
    </row>
    <row r="121" spans="1:5" hidden="1" x14ac:dyDescent="0.2">
      <c r="B121" t="s">
        <v>224</v>
      </c>
      <c r="C121" s="12">
        <f>'19_20 District Budget Summ-7'!L174</f>
        <v>0</v>
      </c>
      <c r="D121" s="12">
        <f>'PCFP-All Expense AA-1 Modif-7'!J106</f>
        <v>0</v>
      </c>
      <c r="E121" s="288"/>
    </row>
    <row r="122" spans="1:5" hidden="1" x14ac:dyDescent="0.2">
      <c r="B122" t="s">
        <v>225</v>
      </c>
      <c r="C122" s="12">
        <f>'19_20 District Budget Summ-7'!L175</f>
        <v>0</v>
      </c>
      <c r="D122" s="12">
        <f>'PCFP-All Expense AA-1 Modif-7'!J107</f>
        <v>0</v>
      </c>
      <c r="E122" s="288"/>
    </row>
    <row r="123" spans="1:5" hidden="1" x14ac:dyDescent="0.2">
      <c r="B123" t="s">
        <v>226</v>
      </c>
      <c r="C123" s="12">
        <f>'19_20 District Budget Summ-7'!L176</f>
        <v>0</v>
      </c>
      <c r="D123" s="12">
        <f>'PCFP-All Expense AA-1 Modif-7'!J108</f>
        <v>0</v>
      </c>
      <c r="E123" s="288"/>
    </row>
    <row r="124" spans="1:5" hidden="1" x14ac:dyDescent="0.2">
      <c r="B124" t="s">
        <v>227</v>
      </c>
      <c r="C124" s="12">
        <f>'19_20 District Budget Summ-7'!L177</f>
        <v>0</v>
      </c>
      <c r="D124" s="12">
        <f>'PCFP-All Expense AA-1 Modif-7'!J109</f>
        <v>0</v>
      </c>
      <c r="E124" s="288"/>
    </row>
    <row r="125" spans="1:5" hidden="1" x14ac:dyDescent="0.2">
      <c r="B125" t="s">
        <v>228</v>
      </c>
      <c r="C125" s="12">
        <f>'19_20 District Budget Summ-7'!L178</f>
        <v>0</v>
      </c>
      <c r="D125" s="12">
        <f>'PCFP-All Expense AA-1 Modif-7'!J110</f>
        <v>0</v>
      </c>
      <c r="E125" s="288"/>
    </row>
    <row r="126" spans="1:5" hidden="1" x14ac:dyDescent="0.2">
      <c r="B126" t="s">
        <v>229</v>
      </c>
      <c r="C126" s="12">
        <f>'19_20 District Budget Summ-7'!L179</f>
        <v>0</v>
      </c>
      <c r="D126" s="12">
        <f>'PCFP-All Expense AA-1 Modif-7'!J111</f>
        <v>0</v>
      </c>
      <c r="E126" s="288"/>
    </row>
    <row r="127" spans="1:5" hidden="1" x14ac:dyDescent="0.2">
      <c r="B127" t="s">
        <v>230</v>
      </c>
      <c r="C127" s="12">
        <f>'19_20 District Budget Summ-7'!L180</f>
        <v>0</v>
      </c>
      <c r="D127" s="12">
        <f>'PCFP-All Expense AA-1 Modif-7'!J112</f>
        <v>1000000</v>
      </c>
      <c r="E127" s="288"/>
    </row>
    <row r="128" spans="1:5" hidden="1" x14ac:dyDescent="0.2">
      <c r="B128" t="s">
        <v>231</v>
      </c>
      <c r="C128" s="12">
        <f>'19_20 District Budget Summ-7'!L181</f>
        <v>0</v>
      </c>
      <c r="D128" s="12">
        <f>'PCFP-All Expense AA-1 Modif-7'!J113</f>
        <v>0</v>
      </c>
      <c r="E128" s="288"/>
    </row>
    <row r="129" spans="2:5" hidden="1" x14ac:dyDescent="0.2">
      <c r="B129" t="s">
        <v>232</v>
      </c>
      <c r="C129" s="12">
        <f>'19_20 District Budget Summ-7'!L182</f>
        <v>0</v>
      </c>
      <c r="D129" s="12">
        <f>'PCFP-All Expense AA-1 Modif-7'!J114</f>
        <v>0</v>
      </c>
      <c r="E129" s="288"/>
    </row>
    <row r="130" spans="2:5" hidden="1" x14ac:dyDescent="0.2">
      <c r="B130" t="s">
        <v>233</v>
      </c>
      <c r="C130" s="12">
        <f>'19_20 District Budget Summ-7'!L183</f>
        <v>0</v>
      </c>
      <c r="D130" s="12">
        <f>'PCFP-All Expense AA-1 Modif-7'!J115</f>
        <v>0</v>
      </c>
      <c r="E130" s="288"/>
    </row>
    <row r="131" spans="2:5" hidden="1" x14ac:dyDescent="0.2">
      <c r="B131" t="s">
        <v>234</v>
      </c>
      <c r="C131" s="12">
        <f>'19_20 District Budget Summ-7'!L184</f>
        <v>0</v>
      </c>
      <c r="D131" s="12">
        <f>'PCFP-All Expense AA-1 Modif-7'!J116</f>
        <v>0</v>
      </c>
      <c r="E131" s="288"/>
    </row>
    <row r="132" spans="2:5" hidden="1" x14ac:dyDescent="0.2">
      <c r="B132" t="s">
        <v>9</v>
      </c>
      <c r="C132" s="12">
        <f>'19_20 District Budget Summ-7'!L185</f>
        <v>-200000</v>
      </c>
      <c r="D132" s="12">
        <f>'PCFP-All Expense AA-1 Modif-7'!J117</f>
        <v>1036708</v>
      </c>
      <c r="E132" s="288"/>
    </row>
    <row r="133" spans="2:5" hidden="1" x14ac:dyDescent="0.2">
      <c r="B133" s="3" t="s">
        <v>235</v>
      </c>
      <c r="C133" s="12">
        <f>'19_20 District Budget Summ-7'!L187</f>
        <v>0</v>
      </c>
      <c r="D133" s="12">
        <f>'PCFP-All Expense AA-1 Modif-7'!J118</f>
        <v>0</v>
      </c>
      <c r="E133" s="288"/>
    </row>
    <row r="134" spans="2:5" hidden="1" x14ac:dyDescent="0.2">
      <c r="B134" t="s">
        <v>236</v>
      </c>
      <c r="C134" s="12">
        <f>'19_20 District Budget Summ-7'!L188</f>
        <v>0</v>
      </c>
      <c r="D134" s="12">
        <f>'PCFP-All Expense AA-1 Modif-7'!J119</f>
        <v>50000</v>
      </c>
      <c r="E134" s="288"/>
    </row>
    <row r="135" spans="2:5" hidden="1" x14ac:dyDescent="0.2">
      <c r="B135" t="s">
        <v>237</v>
      </c>
      <c r="C135" s="12">
        <f>'19_20 District Budget Summ-7'!L189</f>
        <v>0</v>
      </c>
      <c r="D135" s="12">
        <f>'PCFP-All Expense AA-1 Modif-7'!J120</f>
        <v>0</v>
      </c>
      <c r="E135" s="288"/>
    </row>
    <row r="136" spans="2:5" hidden="1" x14ac:dyDescent="0.2">
      <c r="B136" t="s">
        <v>238</v>
      </c>
      <c r="C136" s="12">
        <f>'19_20 District Budget Summ-7'!L190</f>
        <v>0</v>
      </c>
      <c r="D136" s="12">
        <f>'PCFP-All Expense AA-1 Modif-7'!J121</f>
        <v>0</v>
      </c>
      <c r="E136" s="288"/>
    </row>
    <row r="137" spans="2:5" hidden="1" x14ac:dyDescent="0.2">
      <c r="B137" t="s">
        <v>239</v>
      </c>
      <c r="C137" s="12">
        <f>'19_20 District Budget Summ-7'!L191</f>
        <v>0</v>
      </c>
      <c r="D137" s="12">
        <f>'PCFP-All Expense AA-1 Modif-7'!J122</f>
        <v>0</v>
      </c>
      <c r="E137" s="288"/>
    </row>
    <row r="138" spans="2:5" hidden="1" x14ac:dyDescent="0.2">
      <c r="B138" t="s">
        <v>240</v>
      </c>
      <c r="C138" s="12">
        <f>'19_20 District Budget Summ-7'!L192</f>
        <v>0</v>
      </c>
      <c r="D138" s="12">
        <f>'PCFP-All Expense AA-1 Modif-7'!J123</f>
        <v>0</v>
      </c>
      <c r="E138" s="288"/>
    </row>
    <row r="139" spans="2:5" hidden="1" x14ac:dyDescent="0.2">
      <c r="B139" t="s">
        <v>241</v>
      </c>
      <c r="C139" s="12">
        <f>'19_20 District Budget Summ-7'!L193</f>
        <v>0</v>
      </c>
      <c r="D139" s="12">
        <f>'PCFP-All Expense AA-1 Modif-7'!J124</f>
        <v>0</v>
      </c>
      <c r="E139" s="288"/>
    </row>
    <row r="140" spans="2:5" hidden="1" x14ac:dyDescent="0.2">
      <c r="B140" t="s">
        <v>242</v>
      </c>
      <c r="C140" s="12">
        <f>'19_20 District Budget Summ-7'!L194</f>
        <v>0</v>
      </c>
      <c r="D140" s="12">
        <f>'PCFP-All Expense AA-1 Modif-7'!J125</f>
        <v>0</v>
      </c>
      <c r="E140" s="288"/>
    </row>
    <row r="141" spans="2:5" hidden="1" x14ac:dyDescent="0.2">
      <c r="B141" t="s">
        <v>243</v>
      </c>
      <c r="C141" s="12">
        <f>'19_20 District Budget Summ-7'!L195</f>
        <v>0</v>
      </c>
      <c r="D141" s="12">
        <f>'PCFP-All Expense AA-1 Modif-7'!J126</f>
        <v>0</v>
      </c>
      <c r="E141" s="288"/>
    </row>
    <row r="142" spans="2:5" hidden="1" x14ac:dyDescent="0.2">
      <c r="B142" t="s">
        <v>244</v>
      </c>
      <c r="C142" s="12">
        <f>'19_20 District Budget Summ-7'!L196</f>
        <v>0</v>
      </c>
      <c r="D142" s="12">
        <f>'PCFP-All Expense AA-1 Modif-7'!J127</f>
        <v>0</v>
      </c>
      <c r="E142" s="288"/>
    </row>
    <row r="143" spans="2:5" hidden="1" x14ac:dyDescent="0.2">
      <c r="B143" t="s">
        <v>245</v>
      </c>
      <c r="D143" s="12">
        <f>'PCFP-All Expense AA-1 Modif-7'!J128</f>
        <v>0</v>
      </c>
      <c r="E143" s="288"/>
    </row>
    <row r="144" spans="2:5" hidden="1" x14ac:dyDescent="0.2">
      <c r="B144" t="s">
        <v>246</v>
      </c>
      <c r="C144" s="12">
        <f>'19_20 District Budget Summ-7'!L198</f>
        <v>0</v>
      </c>
      <c r="D144" s="12">
        <f>'PCFP-All Expense AA-1 Modif-7'!J129</f>
        <v>0</v>
      </c>
      <c r="E144" s="288"/>
    </row>
    <row r="145" spans="2:5" hidden="1" x14ac:dyDescent="0.2">
      <c r="B145" t="s">
        <v>247</v>
      </c>
      <c r="C145" s="12">
        <f>'19_20 District Budget Summ-7'!L199</f>
        <v>0</v>
      </c>
      <c r="D145" s="12">
        <f>'PCFP-All Expense AA-1 Modif-7'!J130</f>
        <v>0</v>
      </c>
      <c r="E145" s="288"/>
    </row>
    <row r="146" spans="2:5" hidden="1" x14ac:dyDescent="0.2">
      <c r="B146" t="s">
        <v>248</v>
      </c>
      <c r="C146" s="12">
        <f>'19_20 District Budget Summ-7'!L200</f>
        <v>0</v>
      </c>
      <c r="D146" s="12">
        <f>'PCFP-All Expense AA-1 Modif-7'!J131</f>
        <v>0</v>
      </c>
      <c r="E146" s="288"/>
    </row>
    <row r="147" spans="2:5" hidden="1" x14ac:dyDescent="0.2">
      <c r="B147" t="s">
        <v>249</v>
      </c>
      <c r="C147" s="12">
        <f>'19_20 District Budget Summ-7'!L201</f>
        <v>0</v>
      </c>
      <c r="D147" s="12">
        <f>'PCFP-All Expense AA-1 Modif-7'!J132</f>
        <v>0</v>
      </c>
      <c r="E147" s="288"/>
    </row>
    <row r="148" spans="2:5" hidden="1" x14ac:dyDescent="0.2">
      <c r="B148" t="s">
        <v>250</v>
      </c>
      <c r="C148" s="12">
        <f>'19_20 District Budget Summ-7'!L202</f>
        <v>0</v>
      </c>
      <c r="D148" s="12">
        <f>'PCFP-All Expense AA-1 Modif-7'!J133</f>
        <v>0</v>
      </c>
      <c r="E148" s="288"/>
    </row>
    <row r="149" spans="2:5" hidden="1" x14ac:dyDescent="0.2">
      <c r="B149" t="s">
        <v>251</v>
      </c>
      <c r="C149" s="12">
        <f>'19_20 District Budget Summ-7'!L203</f>
        <v>0</v>
      </c>
      <c r="D149" s="12">
        <f>'PCFP-All Expense AA-1 Modif-7'!J134</f>
        <v>0</v>
      </c>
      <c r="E149" s="288"/>
    </row>
    <row r="150" spans="2:5" hidden="1" x14ac:dyDescent="0.2">
      <c r="B150" t="s">
        <v>252</v>
      </c>
      <c r="C150" s="12">
        <f>'19_20 District Budget Summ-7'!L204</f>
        <v>0</v>
      </c>
      <c r="D150" s="12">
        <f>'PCFP-All Expense AA-1 Modif-7'!J135</f>
        <v>0</v>
      </c>
      <c r="E150" s="288"/>
    </row>
    <row r="151" spans="2:5" hidden="1" x14ac:dyDescent="0.2">
      <c r="B151" t="s">
        <v>253</v>
      </c>
      <c r="C151" s="12">
        <f>'19_20 District Budget Summ-7'!L205</f>
        <v>0</v>
      </c>
      <c r="D151" s="12">
        <f>'PCFP-All Expense AA-1 Modif-7'!J136</f>
        <v>0</v>
      </c>
      <c r="E151" s="288"/>
    </row>
    <row r="152" spans="2:5" hidden="1" x14ac:dyDescent="0.2">
      <c r="B152" t="s">
        <v>254</v>
      </c>
      <c r="C152" s="12">
        <f>'19_20 District Budget Summ-7'!L206</f>
        <v>0</v>
      </c>
      <c r="D152" s="12">
        <f>'PCFP-All Expense AA-1 Modif-7'!J137</f>
        <v>0</v>
      </c>
      <c r="E152" s="288"/>
    </row>
    <row r="153" spans="2:5" hidden="1" x14ac:dyDescent="0.2">
      <c r="B153" t="s">
        <v>255</v>
      </c>
      <c r="C153" s="12">
        <f>'19_20 District Budget Summ-7'!L207</f>
        <v>0</v>
      </c>
      <c r="D153" s="12">
        <f>'PCFP-All Expense AA-1 Modif-7'!J138</f>
        <v>0</v>
      </c>
      <c r="E153" s="288"/>
    </row>
    <row r="154" spans="2:5" hidden="1" x14ac:dyDescent="0.2">
      <c r="B154" t="s">
        <v>256</v>
      </c>
      <c r="C154" s="12">
        <f>'19_20 District Budget Summ-7'!L208</f>
        <v>0</v>
      </c>
      <c r="D154" s="12">
        <f>'PCFP-All Expense AA-1 Modif-7'!J139</f>
        <v>0</v>
      </c>
      <c r="E154" s="288"/>
    </row>
    <row r="155" spans="2:5" hidden="1" x14ac:dyDescent="0.2">
      <c r="B155" t="s">
        <v>257</v>
      </c>
      <c r="C155" s="12">
        <f>'19_20 District Budget Summ-7'!L209</f>
        <v>0</v>
      </c>
      <c r="D155" s="12">
        <f>'PCFP-All Expense AA-1 Modif-7'!J140</f>
        <v>0</v>
      </c>
      <c r="E155" s="288"/>
    </row>
    <row r="156" spans="2:5" hidden="1" x14ac:dyDescent="0.2">
      <c r="B156" t="s">
        <v>258</v>
      </c>
      <c r="C156" s="12">
        <f>'19_20 District Budget Summ-7'!L210</f>
        <v>0</v>
      </c>
      <c r="D156" s="12">
        <f>'PCFP-All Expense AA-1 Modif-7'!J141</f>
        <v>0</v>
      </c>
      <c r="E156" s="288"/>
    </row>
    <row r="157" spans="2:5" hidden="1" x14ac:dyDescent="0.2">
      <c r="B157" t="s">
        <v>259</v>
      </c>
      <c r="C157" s="12">
        <f>'19_20 District Budget Summ-7'!L211</f>
        <v>0</v>
      </c>
      <c r="D157" s="12">
        <f>'PCFP-All Expense AA-1 Modif-7'!J142</f>
        <v>0</v>
      </c>
      <c r="E157" s="288"/>
    </row>
    <row r="158" spans="2:5" hidden="1" x14ac:dyDescent="0.2">
      <c r="B158" t="s">
        <v>260</v>
      </c>
      <c r="C158" s="12">
        <f>'19_20 District Budget Summ-7'!L212</f>
        <v>0</v>
      </c>
      <c r="D158" s="12">
        <f>'PCFP-All Expense AA-1 Modif-7'!J143</f>
        <v>0</v>
      </c>
      <c r="E158" s="288"/>
    </row>
    <row r="159" spans="2:5" hidden="1" x14ac:dyDescent="0.2">
      <c r="B159" t="str">
        <f>'PCFP-All Expense AA-1 Modif-7'!B146</f>
        <v>Less:  Interfund Transfers</v>
      </c>
      <c r="C159" s="12">
        <v>0</v>
      </c>
      <c r="D159" s="12">
        <f>'PCFP-All Expense AA-1 Modif-7'!J146</f>
        <v>-5200000</v>
      </c>
      <c r="E159" s="288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83D5-CE73-492F-A432-651E64471561}">
  <dimension ref="A1:U213"/>
  <sheetViews>
    <sheetView showGridLines="0" zoomScaleNormal="100" workbookViewId="0">
      <pane xSplit="2" ySplit="3" topLeftCell="C18" activePane="bottomRight" state="frozen"/>
      <selection activeCell="E41" sqref="E41"/>
      <selection pane="topRight" activeCell="E41" sqref="E41"/>
      <selection pane="bottomLeft" activeCell="E41" sqref="E41"/>
      <selection pane="bottomRight" activeCell="D74" sqref="D74"/>
    </sheetView>
  </sheetViews>
  <sheetFormatPr defaultRowHeight="12.75" x14ac:dyDescent="0.2"/>
  <cols>
    <col min="1" max="1" width="5.140625" style="2" bestFit="1" customWidth="1"/>
    <col min="2" max="2" width="41.140625" bestFit="1" customWidth="1"/>
    <col min="3" max="3" width="15" style="12" bestFit="1" customWidth="1"/>
    <col min="4" max="4" width="11.5703125" style="12" bestFit="1" customWidth="1"/>
    <col min="5" max="5" width="14.28515625" style="12" bestFit="1" customWidth="1"/>
    <col min="6" max="6" width="17" style="12" bestFit="1" customWidth="1"/>
    <col min="7" max="7" width="14.28515625" style="12" bestFit="1" customWidth="1"/>
    <col min="8" max="8" width="12.5703125" style="12" bestFit="1" customWidth="1"/>
    <col min="9" max="9" width="15.28515625" style="12" bestFit="1" customWidth="1"/>
    <col min="10" max="10" width="14.28515625" style="12" bestFit="1" customWidth="1"/>
    <col min="11" max="11" width="15" style="12" bestFit="1" customWidth="1"/>
    <col min="12" max="12" width="26.85546875" customWidth="1"/>
    <col min="13" max="13" width="14.7109375" bestFit="1" customWidth="1"/>
    <col min="14" max="14" width="16.5703125" hidden="1" customWidth="1"/>
    <col min="15" max="15" width="29.5703125" hidden="1" customWidth="1"/>
    <col min="16" max="16" width="0" hidden="1" customWidth="1"/>
  </cols>
  <sheetData>
    <row r="1" spans="1:15" s="8" customFormat="1" ht="18" x14ac:dyDescent="0.25">
      <c r="A1" s="6"/>
      <c r="B1" s="9" t="s">
        <v>261</v>
      </c>
      <c r="C1" s="10" t="s">
        <v>622</v>
      </c>
      <c r="D1" s="10" t="s">
        <v>119</v>
      </c>
      <c r="E1" s="332" t="s">
        <v>262</v>
      </c>
      <c r="F1" s="333">
        <v>76401271</v>
      </c>
      <c r="I1" s="10"/>
      <c r="K1" s="10"/>
    </row>
    <row r="3" spans="1:15" s="15" customFormat="1" ht="25.5" x14ac:dyDescent="0.2">
      <c r="A3" s="13"/>
      <c r="B3" s="13" t="s">
        <v>120</v>
      </c>
      <c r="C3" s="14" t="s">
        <v>263</v>
      </c>
      <c r="D3" s="14" t="s">
        <v>237</v>
      </c>
      <c r="E3" s="14" t="s">
        <v>9</v>
      </c>
      <c r="F3" s="14" t="s">
        <v>205</v>
      </c>
      <c r="G3" s="14" t="s">
        <v>188</v>
      </c>
      <c r="H3" s="14" t="s">
        <v>185</v>
      </c>
      <c r="I3" s="14" t="s">
        <v>625</v>
      </c>
      <c r="J3" s="14" t="s">
        <v>230</v>
      </c>
      <c r="K3" s="14" t="s">
        <v>272</v>
      </c>
      <c r="L3" s="14" t="s">
        <v>273</v>
      </c>
    </row>
    <row r="4" spans="1:15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N4" s="290">
        <f>SUM(N5:N11)</f>
        <v>9738158</v>
      </c>
    </row>
    <row r="5" spans="1:15" s="291" customFormat="1" x14ac:dyDescent="0.2">
      <c r="B5" s="292" t="s">
        <v>274</v>
      </c>
      <c r="C5" s="915">
        <v>5438556</v>
      </c>
      <c r="D5" s="915">
        <v>0</v>
      </c>
      <c r="E5" s="915">
        <v>0</v>
      </c>
      <c r="F5" s="915">
        <v>0</v>
      </c>
      <c r="G5" s="915">
        <v>0</v>
      </c>
      <c r="H5" s="915">
        <v>0</v>
      </c>
      <c r="I5" s="915">
        <v>0</v>
      </c>
      <c r="J5" s="915">
        <v>0</v>
      </c>
      <c r="K5" s="915">
        <v>0</v>
      </c>
      <c r="L5" s="915" t="str">
        <f t="shared" ref="L5:L26" si="0">B5</f>
        <v>Property Taxes</v>
      </c>
      <c r="M5" s="936">
        <f t="shared" ref="M5:M26" si="1">SUM(C5:K5)</f>
        <v>5438556</v>
      </c>
      <c r="N5" s="293">
        <f>M5</f>
        <v>5438556</v>
      </c>
      <c r="O5" s="292" t="s">
        <v>275</v>
      </c>
    </row>
    <row r="6" spans="1:15" s="291" customFormat="1" x14ac:dyDescent="0.2">
      <c r="B6" s="292" t="s">
        <v>474</v>
      </c>
      <c r="C6" s="915">
        <v>3389803</v>
      </c>
      <c r="D6" s="915">
        <v>0</v>
      </c>
      <c r="E6" s="915">
        <v>0</v>
      </c>
      <c r="F6" s="915">
        <v>0</v>
      </c>
      <c r="G6" s="915">
        <v>0</v>
      </c>
      <c r="H6" s="915">
        <v>0</v>
      </c>
      <c r="I6" s="915">
        <v>0</v>
      </c>
      <c r="J6" s="915">
        <v>0</v>
      </c>
      <c r="K6" s="915">
        <v>0</v>
      </c>
      <c r="L6" s="915" t="str">
        <f t="shared" si="0"/>
        <v>Net Proceeds from Mines</v>
      </c>
      <c r="M6" s="936">
        <f t="shared" si="1"/>
        <v>3389803</v>
      </c>
      <c r="N6" s="293">
        <f t="shared" ref="N6:N11" si="2">M6</f>
        <v>3389803</v>
      </c>
      <c r="O6" s="292" t="s">
        <v>473</v>
      </c>
    </row>
    <row r="7" spans="1:15" s="37" customFormat="1" x14ac:dyDescent="0.2">
      <c r="B7" s="37" t="s">
        <v>276</v>
      </c>
      <c r="C7" s="915">
        <v>563385</v>
      </c>
      <c r="D7" s="915">
        <v>0</v>
      </c>
      <c r="E7" s="915">
        <v>0</v>
      </c>
      <c r="F7" s="915">
        <v>0</v>
      </c>
      <c r="G7" s="915">
        <v>0</v>
      </c>
      <c r="H7" s="915">
        <v>0</v>
      </c>
      <c r="I7" s="915">
        <v>0</v>
      </c>
      <c r="J7" s="915">
        <v>0</v>
      </c>
      <c r="K7" s="915">
        <v>0</v>
      </c>
      <c r="L7" s="915" t="str">
        <f t="shared" si="0"/>
        <v>School Support Taxes</v>
      </c>
      <c r="M7" s="936">
        <f t="shared" si="1"/>
        <v>563385</v>
      </c>
      <c r="N7" s="293">
        <f t="shared" si="2"/>
        <v>563385</v>
      </c>
      <c r="O7" s="519" t="s">
        <v>275</v>
      </c>
    </row>
    <row r="8" spans="1:15" s="37" customFormat="1" hidden="1" x14ac:dyDescent="0.2">
      <c r="B8" s="37" t="s">
        <v>551</v>
      </c>
      <c r="C8" s="915">
        <v>0</v>
      </c>
      <c r="D8" s="915">
        <v>0</v>
      </c>
      <c r="E8" s="915">
        <v>0</v>
      </c>
      <c r="F8" s="915">
        <v>0</v>
      </c>
      <c r="G8" s="915">
        <v>0</v>
      </c>
      <c r="H8" s="915">
        <v>0</v>
      </c>
      <c r="I8" s="915">
        <v>0</v>
      </c>
      <c r="J8" s="915">
        <v>0</v>
      </c>
      <c r="K8" s="915">
        <v>0</v>
      </c>
      <c r="L8" s="915" t="str">
        <f t="shared" si="0"/>
        <v>Real Estate Transfer Tax</v>
      </c>
      <c r="M8" s="936">
        <f t="shared" si="1"/>
        <v>0</v>
      </c>
      <c r="N8" s="293"/>
      <c r="O8" s="519"/>
    </row>
    <row r="9" spans="1:15" s="37" customFormat="1" hidden="1" x14ac:dyDescent="0.2">
      <c r="B9" s="37" t="s">
        <v>550</v>
      </c>
      <c r="C9" s="915">
        <v>0</v>
      </c>
      <c r="D9" s="915">
        <v>0</v>
      </c>
      <c r="E9" s="915">
        <v>0</v>
      </c>
      <c r="F9" s="915">
        <v>0</v>
      </c>
      <c r="G9" s="915">
        <v>0</v>
      </c>
      <c r="H9" s="915">
        <v>0</v>
      </c>
      <c r="I9" s="915">
        <v>0</v>
      </c>
      <c r="J9" s="915">
        <v>0</v>
      </c>
      <c r="K9" s="915">
        <v>0</v>
      </c>
      <c r="L9" s="915" t="str">
        <f t="shared" si="0"/>
        <v>Room Tax</v>
      </c>
      <c r="M9" s="936">
        <f t="shared" si="1"/>
        <v>0</v>
      </c>
      <c r="N9" s="293">
        <f t="shared" si="2"/>
        <v>0</v>
      </c>
      <c r="O9" s="519" t="s">
        <v>275</v>
      </c>
    </row>
    <row r="10" spans="1:15" s="37" customFormat="1" hidden="1" x14ac:dyDescent="0.2">
      <c r="B10" s="37" t="s">
        <v>277</v>
      </c>
      <c r="C10" s="915">
        <v>0</v>
      </c>
      <c r="D10" s="915">
        <v>0</v>
      </c>
      <c r="E10" s="915">
        <v>0</v>
      </c>
      <c r="F10" s="915">
        <v>0</v>
      </c>
      <c r="G10" s="915">
        <v>0</v>
      </c>
      <c r="H10" s="915">
        <v>0</v>
      </c>
      <c r="I10" s="915">
        <v>0</v>
      </c>
      <c r="J10" s="915">
        <v>0</v>
      </c>
      <c r="K10" s="915">
        <v>0</v>
      </c>
      <c r="L10" s="915" t="str">
        <f t="shared" si="0"/>
        <v>Franchise Taxes</v>
      </c>
      <c r="M10" s="936">
        <f t="shared" si="1"/>
        <v>0</v>
      </c>
      <c r="N10" s="293">
        <f t="shared" si="2"/>
        <v>0</v>
      </c>
      <c r="O10" s="519" t="s">
        <v>275</v>
      </c>
    </row>
    <row r="11" spans="1:15" s="37" customFormat="1" x14ac:dyDescent="0.2">
      <c r="B11" s="37" t="s">
        <v>278</v>
      </c>
      <c r="C11" s="915">
        <v>346414</v>
      </c>
      <c r="D11" s="915">
        <v>0</v>
      </c>
      <c r="E11" s="915">
        <v>0</v>
      </c>
      <c r="F11" s="915">
        <v>0</v>
      </c>
      <c r="G11" s="915">
        <v>0</v>
      </c>
      <c r="H11" s="915">
        <v>0</v>
      </c>
      <c r="I11" s="915">
        <v>0</v>
      </c>
      <c r="J11" s="915">
        <v>0</v>
      </c>
      <c r="K11" s="915">
        <v>0</v>
      </c>
      <c r="L11" s="915" t="str">
        <f t="shared" si="0"/>
        <v>Governmental Services Tax</v>
      </c>
      <c r="M11" s="936">
        <f t="shared" si="1"/>
        <v>346414</v>
      </c>
      <c r="N11" s="293">
        <f t="shared" si="2"/>
        <v>346414</v>
      </c>
      <c r="O11" s="519" t="s">
        <v>279</v>
      </c>
    </row>
    <row r="12" spans="1:15" s="37" customFormat="1" hidden="1" x14ac:dyDescent="0.2">
      <c r="B12" s="37" t="s">
        <v>338</v>
      </c>
      <c r="C12" s="915">
        <v>0</v>
      </c>
      <c r="D12" s="915">
        <v>0</v>
      </c>
      <c r="E12" s="915">
        <v>0</v>
      </c>
      <c r="F12" s="915">
        <v>0</v>
      </c>
      <c r="G12" s="915">
        <v>0</v>
      </c>
      <c r="H12" s="915">
        <v>0</v>
      </c>
      <c r="I12" s="915">
        <v>0</v>
      </c>
      <c r="J12" s="915">
        <v>0</v>
      </c>
      <c r="K12" s="915">
        <v>0</v>
      </c>
      <c r="L12" s="915" t="str">
        <f t="shared" si="0"/>
        <v>Other Taxes</v>
      </c>
      <c r="M12" s="936">
        <f t="shared" si="1"/>
        <v>0</v>
      </c>
    </row>
    <row r="13" spans="1:15" s="37" customFormat="1" hidden="1" x14ac:dyDescent="0.2">
      <c r="B13" s="37" t="s">
        <v>281</v>
      </c>
      <c r="C13" s="915">
        <v>0</v>
      </c>
      <c r="D13" s="915">
        <v>0</v>
      </c>
      <c r="E13" s="915">
        <v>0</v>
      </c>
      <c r="F13" s="915">
        <v>0</v>
      </c>
      <c r="G13" s="915">
        <v>0</v>
      </c>
      <c r="H13" s="915">
        <v>0</v>
      </c>
      <c r="I13" s="915">
        <v>0</v>
      </c>
      <c r="J13" s="915">
        <v>0</v>
      </c>
      <c r="K13" s="915">
        <v>0</v>
      </c>
      <c r="L13" s="915" t="str">
        <f t="shared" si="0"/>
        <v>Boat Registration</v>
      </c>
      <c r="M13" s="936">
        <f t="shared" si="1"/>
        <v>0</v>
      </c>
    </row>
    <row r="14" spans="1:15" s="37" customFormat="1" hidden="1" x14ac:dyDescent="0.2">
      <c r="B14" s="37" t="s">
        <v>227</v>
      </c>
      <c r="C14" s="915">
        <v>0</v>
      </c>
      <c r="D14" s="915">
        <v>0</v>
      </c>
      <c r="E14" s="915">
        <v>0</v>
      </c>
      <c r="F14" s="915">
        <v>0</v>
      </c>
      <c r="G14" s="915">
        <v>0</v>
      </c>
      <c r="H14" s="915">
        <v>0</v>
      </c>
      <c r="I14" s="915">
        <v>0</v>
      </c>
      <c r="J14" s="915">
        <v>0</v>
      </c>
      <c r="K14" s="915">
        <v>0</v>
      </c>
      <c r="L14" s="915" t="str">
        <f t="shared" si="0"/>
        <v>Residential Construction Tax</v>
      </c>
      <c r="M14" s="936">
        <f t="shared" si="1"/>
        <v>0</v>
      </c>
    </row>
    <row r="15" spans="1:15" s="37" customFormat="1" hidden="1" x14ac:dyDescent="0.2">
      <c r="B15" s="37" t="s">
        <v>282</v>
      </c>
      <c r="C15" s="915">
        <v>0</v>
      </c>
      <c r="D15" s="915">
        <v>0</v>
      </c>
      <c r="E15" s="915">
        <v>0</v>
      </c>
      <c r="F15" s="915">
        <v>0</v>
      </c>
      <c r="G15" s="915">
        <v>0</v>
      </c>
      <c r="H15" s="915">
        <v>0</v>
      </c>
      <c r="I15" s="915">
        <v>0</v>
      </c>
      <c r="J15" s="915">
        <v>0</v>
      </c>
      <c r="K15" s="915">
        <v>0</v>
      </c>
      <c r="L15" s="915" t="str">
        <f t="shared" si="0"/>
        <v>Tuition</v>
      </c>
      <c r="M15" s="936">
        <f t="shared" si="1"/>
        <v>0</v>
      </c>
    </row>
    <row r="16" spans="1:15" s="37" customFormat="1" hidden="1" x14ac:dyDescent="0.2">
      <c r="B16" s="37" t="s">
        <v>143</v>
      </c>
      <c r="C16" s="915">
        <v>0</v>
      </c>
      <c r="D16" s="915">
        <v>0</v>
      </c>
      <c r="E16" s="915">
        <v>0</v>
      </c>
      <c r="F16" s="915">
        <v>0</v>
      </c>
      <c r="G16" s="915">
        <v>0</v>
      </c>
      <c r="H16" s="915">
        <v>0</v>
      </c>
      <c r="I16" s="915">
        <v>0</v>
      </c>
      <c r="J16" s="915">
        <v>0</v>
      </c>
      <c r="K16" s="915">
        <v>0</v>
      </c>
      <c r="L16" s="915" t="str">
        <f t="shared" si="0"/>
        <v>Summer School</v>
      </c>
      <c r="M16" s="936">
        <f t="shared" si="1"/>
        <v>0</v>
      </c>
    </row>
    <row r="17" spans="1:13" s="37" customFormat="1" hidden="1" x14ac:dyDescent="0.2">
      <c r="B17" s="37" t="s">
        <v>283</v>
      </c>
      <c r="C17" s="915">
        <v>0</v>
      </c>
      <c r="D17" s="915">
        <v>0</v>
      </c>
      <c r="E17" s="915">
        <v>0</v>
      </c>
      <c r="F17" s="915">
        <v>0</v>
      </c>
      <c r="G17" s="915">
        <v>0</v>
      </c>
      <c r="H17" s="915">
        <v>0</v>
      </c>
      <c r="I17" s="915">
        <v>0</v>
      </c>
      <c r="J17" s="915">
        <v>0</v>
      </c>
      <c r="K17" s="915">
        <v>0</v>
      </c>
      <c r="L17" s="915" t="str">
        <f t="shared" si="0"/>
        <v>Transportation Fees</v>
      </c>
      <c r="M17" s="936">
        <f t="shared" si="1"/>
        <v>0</v>
      </c>
    </row>
    <row r="18" spans="1:13" s="37" customFormat="1" x14ac:dyDescent="0.2">
      <c r="B18" s="37" t="s">
        <v>284</v>
      </c>
      <c r="C18" s="915">
        <v>1000000</v>
      </c>
      <c r="D18" s="915">
        <v>0</v>
      </c>
      <c r="E18" s="915">
        <v>0</v>
      </c>
      <c r="F18" s="915">
        <v>0</v>
      </c>
      <c r="G18" s="915">
        <v>0</v>
      </c>
      <c r="H18" s="915">
        <v>0</v>
      </c>
      <c r="I18" s="915">
        <v>0</v>
      </c>
      <c r="J18" s="915">
        <v>0</v>
      </c>
      <c r="K18" s="915">
        <v>0</v>
      </c>
      <c r="L18" s="915" t="str">
        <f t="shared" si="0"/>
        <v>Earnings on Investments</v>
      </c>
      <c r="M18" s="936">
        <f t="shared" si="1"/>
        <v>1000000</v>
      </c>
    </row>
    <row r="19" spans="1:13" s="37" customFormat="1" hidden="1" x14ac:dyDescent="0.2">
      <c r="B19" s="37" t="s">
        <v>552</v>
      </c>
      <c r="C19" s="915">
        <v>0</v>
      </c>
      <c r="D19" s="915">
        <v>0</v>
      </c>
      <c r="E19" s="915">
        <v>0</v>
      </c>
      <c r="F19" s="915">
        <v>0</v>
      </c>
      <c r="G19" s="915">
        <v>0</v>
      </c>
      <c r="H19" s="915">
        <v>0</v>
      </c>
      <c r="I19" s="915">
        <v>0</v>
      </c>
      <c r="J19" s="915">
        <v>0</v>
      </c>
      <c r="K19" s="915">
        <v>0</v>
      </c>
      <c r="L19" s="915" t="str">
        <f t="shared" si="0"/>
        <v>Direct District Activities Revenue</v>
      </c>
      <c r="M19" s="936">
        <f t="shared" si="1"/>
        <v>0</v>
      </c>
    </row>
    <row r="20" spans="1:13" s="37" customFormat="1" x14ac:dyDescent="0.2">
      <c r="B20" s="37" t="s">
        <v>286</v>
      </c>
      <c r="C20" s="915">
        <v>66000</v>
      </c>
      <c r="D20" s="915">
        <v>0</v>
      </c>
      <c r="E20" s="915">
        <v>0</v>
      </c>
      <c r="F20" s="915">
        <v>0</v>
      </c>
      <c r="G20" s="915">
        <v>0</v>
      </c>
      <c r="H20" s="915">
        <v>0</v>
      </c>
      <c r="I20" s="915">
        <v>0</v>
      </c>
      <c r="J20" s="915">
        <v>0</v>
      </c>
      <c r="K20" s="915">
        <v>0</v>
      </c>
      <c r="L20" s="915" t="str">
        <f t="shared" si="0"/>
        <v>Daily Sales - Food Services</v>
      </c>
      <c r="M20" s="936">
        <f t="shared" si="1"/>
        <v>66000</v>
      </c>
    </row>
    <row r="21" spans="1:13" s="37" customFormat="1" hidden="1" x14ac:dyDescent="0.2">
      <c r="A21" s="37">
        <v>1900</v>
      </c>
      <c r="B21" s="37" t="s">
        <v>280</v>
      </c>
      <c r="C21" s="915">
        <v>0</v>
      </c>
      <c r="D21" s="915">
        <v>0</v>
      </c>
      <c r="E21" s="915">
        <v>0</v>
      </c>
      <c r="F21" s="915">
        <v>0</v>
      </c>
      <c r="G21" s="915">
        <v>0</v>
      </c>
      <c r="H21" s="915">
        <v>0</v>
      </c>
      <c r="I21" s="915">
        <v>0</v>
      </c>
      <c r="J21" s="915">
        <v>0</v>
      </c>
      <c r="K21" s="915">
        <v>0</v>
      </c>
      <c r="L21" s="915" t="str">
        <f t="shared" si="0"/>
        <v>Other Revenues</v>
      </c>
      <c r="M21" s="936">
        <f t="shared" si="1"/>
        <v>0</v>
      </c>
    </row>
    <row r="22" spans="1:13" s="37" customFormat="1" x14ac:dyDescent="0.2">
      <c r="B22" s="37" t="s">
        <v>287</v>
      </c>
      <c r="C22" s="915">
        <v>0</v>
      </c>
      <c r="D22" s="915">
        <v>0</v>
      </c>
      <c r="E22" s="915">
        <v>0</v>
      </c>
      <c r="F22" s="915">
        <v>0</v>
      </c>
      <c r="G22" s="915">
        <v>0</v>
      </c>
      <c r="H22" s="915">
        <v>60000</v>
      </c>
      <c r="I22" s="915">
        <v>0</v>
      </c>
      <c r="J22" s="915">
        <v>0</v>
      </c>
      <c r="K22" s="915">
        <v>0</v>
      </c>
      <c r="L22" s="915" t="str">
        <f t="shared" si="0"/>
        <v>Rentals</v>
      </c>
      <c r="M22" s="936">
        <f t="shared" si="1"/>
        <v>60000</v>
      </c>
    </row>
    <row r="23" spans="1:13" s="37" customFormat="1" hidden="1" x14ac:dyDescent="0.2">
      <c r="B23" s="37" t="s">
        <v>288</v>
      </c>
      <c r="C23" s="915">
        <v>0</v>
      </c>
      <c r="D23" s="915">
        <v>0</v>
      </c>
      <c r="E23" s="915">
        <v>0</v>
      </c>
      <c r="F23" s="915">
        <v>0</v>
      </c>
      <c r="G23" s="915">
        <v>0</v>
      </c>
      <c r="H23" s="915">
        <v>0</v>
      </c>
      <c r="I23" s="915">
        <v>0</v>
      </c>
      <c r="J23" s="915">
        <v>0</v>
      </c>
      <c r="K23" s="915">
        <v>0</v>
      </c>
      <c r="L23" s="915" t="str">
        <f t="shared" si="0"/>
        <v>Donations</v>
      </c>
      <c r="M23" s="936">
        <f t="shared" si="1"/>
        <v>0</v>
      </c>
    </row>
    <row r="24" spans="1:13" s="37" customFormat="1" hidden="1" x14ac:dyDescent="0.2">
      <c r="B24" s="37" t="s">
        <v>598</v>
      </c>
      <c r="C24" s="915">
        <v>0</v>
      </c>
      <c r="D24" s="915">
        <v>0</v>
      </c>
      <c r="E24" s="915">
        <v>0</v>
      </c>
      <c r="F24" s="915">
        <v>0</v>
      </c>
      <c r="G24" s="915">
        <v>0</v>
      </c>
      <c r="H24" s="915">
        <v>0</v>
      </c>
      <c r="I24" s="915">
        <v>0</v>
      </c>
      <c r="J24" s="915">
        <v>0</v>
      </c>
      <c r="K24" s="915">
        <v>0</v>
      </c>
      <c r="L24" s="915" t="str">
        <f t="shared" si="0"/>
        <v>Services Provided Other Govts</v>
      </c>
      <c r="M24" s="936">
        <f t="shared" si="1"/>
        <v>0</v>
      </c>
    </row>
    <row r="25" spans="1:13" s="37" customFormat="1" hidden="1" x14ac:dyDescent="0.2">
      <c r="B25" s="37" t="s">
        <v>289</v>
      </c>
      <c r="C25" s="915">
        <v>0</v>
      </c>
      <c r="D25" s="915">
        <v>0</v>
      </c>
      <c r="E25" s="915">
        <v>0</v>
      </c>
      <c r="F25" s="915">
        <v>0</v>
      </c>
      <c r="G25" s="915">
        <v>0</v>
      </c>
      <c r="H25" s="915">
        <v>0</v>
      </c>
      <c r="I25" s="915">
        <v>0</v>
      </c>
      <c r="J25" s="915">
        <v>0</v>
      </c>
      <c r="K25" s="915">
        <v>0</v>
      </c>
      <c r="L25" s="915" t="str">
        <f t="shared" si="0"/>
        <v>Miscellaneous</v>
      </c>
      <c r="M25" s="936">
        <f t="shared" si="1"/>
        <v>0</v>
      </c>
    </row>
    <row r="26" spans="1:13" s="37" customFormat="1" hidden="1" x14ac:dyDescent="0.2">
      <c r="B26" s="37" t="s">
        <v>290</v>
      </c>
      <c r="C26" s="915">
        <v>0</v>
      </c>
      <c r="D26" s="915">
        <v>0</v>
      </c>
      <c r="E26" s="915">
        <v>0</v>
      </c>
      <c r="F26" s="915">
        <v>0</v>
      </c>
      <c r="G26" s="915">
        <v>0</v>
      </c>
      <c r="H26" s="915">
        <v>0</v>
      </c>
      <c r="I26" s="915">
        <v>0</v>
      </c>
      <c r="J26" s="915">
        <v>0</v>
      </c>
      <c r="K26" s="915">
        <v>0</v>
      </c>
      <c r="L26" s="915" t="str">
        <f t="shared" si="0"/>
        <v>Indirect Costs</v>
      </c>
      <c r="M26" s="936">
        <f t="shared" si="1"/>
        <v>0</v>
      </c>
    </row>
    <row r="27" spans="1:13" hidden="1" x14ac:dyDescent="0.2">
      <c r="B27" s="3"/>
      <c r="C27" s="916"/>
      <c r="D27" s="916"/>
      <c r="E27" s="916"/>
      <c r="F27" s="916"/>
      <c r="G27" s="916"/>
      <c r="H27" s="916"/>
      <c r="I27" s="916"/>
      <c r="J27" s="916"/>
      <c r="K27" s="916"/>
      <c r="L27" s="908"/>
      <c r="M27" s="908"/>
    </row>
    <row r="28" spans="1:13" s="2" customFormat="1" x14ac:dyDescent="0.2">
      <c r="B28" s="39" t="s">
        <v>124</v>
      </c>
      <c r="C28" s="931">
        <f>SUM(C4:C27)</f>
        <v>10804158</v>
      </c>
      <c r="D28" s="931">
        <f t="shared" ref="D28:K28" si="3">SUM(D4:D27)</f>
        <v>0</v>
      </c>
      <c r="E28" s="931">
        <f t="shared" si="3"/>
        <v>0</v>
      </c>
      <c r="F28" s="931">
        <f t="shared" si="3"/>
        <v>0</v>
      </c>
      <c r="G28" s="931">
        <f t="shared" si="3"/>
        <v>0</v>
      </c>
      <c r="H28" s="931">
        <f t="shared" si="3"/>
        <v>60000</v>
      </c>
      <c r="I28" s="931">
        <f t="shared" si="3"/>
        <v>0</v>
      </c>
      <c r="J28" s="931">
        <f t="shared" si="3"/>
        <v>0</v>
      </c>
      <c r="K28" s="931">
        <f t="shared" si="3"/>
        <v>0</v>
      </c>
      <c r="L28" s="930">
        <f>SUM(C28:K28)</f>
        <v>10864158</v>
      </c>
      <c r="M28" s="903"/>
    </row>
    <row r="29" spans="1:13" x14ac:dyDescent="0.2">
      <c r="B29" s="16"/>
      <c r="C29" s="916"/>
      <c r="D29" s="916"/>
      <c r="E29" s="916"/>
      <c r="F29" s="916"/>
      <c r="G29" s="916"/>
      <c r="H29" s="916"/>
      <c r="I29" s="916"/>
      <c r="J29" s="916"/>
      <c r="K29" s="916"/>
      <c r="L29" s="922"/>
      <c r="M29" s="908"/>
    </row>
    <row r="30" spans="1:13" x14ac:dyDescent="0.2">
      <c r="B30" s="37" t="s">
        <v>291</v>
      </c>
      <c r="C30" s="913">
        <v>1215806</v>
      </c>
      <c r="D30" s="913">
        <v>0</v>
      </c>
      <c r="E30" s="913">
        <v>0</v>
      </c>
      <c r="F30" s="913">
        <v>0</v>
      </c>
      <c r="G30" s="913">
        <v>0</v>
      </c>
      <c r="H30" s="913">
        <v>0</v>
      </c>
      <c r="I30" s="913">
        <v>0</v>
      </c>
      <c r="J30" s="913">
        <v>0</v>
      </c>
      <c r="K30" s="913">
        <v>0</v>
      </c>
      <c r="L30" s="919" t="str">
        <f t="shared" ref="L30:L39" si="4">B30</f>
        <v>Distributive School Fund (DSA)</v>
      </c>
      <c r="M30" s="919">
        <f t="shared" ref="M30:M39" si="5">SUM(C30:K30)</f>
        <v>1215806</v>
      </c>
    </row>
    <row r="31" spans="1:13" hidden="1" x14ac:dyDescent="0.2">
      <c r="B31" s="37" t="s">
        <v>292</v>
      </c>
      <c r="C31" s="913">
        <v>0</v>
      </c>
      <c r="D31" s="913">
        <v>0</v>
      </c>
      <c r="E31" s="913">
        <v>0</v>
      </c>
      <c r="F31" s="913">
        <v>0</v>
      </c>
      <c r="G31" s="913">
        <v>0</v>
      </c>
      <c r="H31" s="913">
        <v>0</v>
      </c>
      <c r="I31" s="913">
        <v>0</v>
      </c>
      <c r="J31" s="913">
        <v>0</v>
      </c>
      <c r="K31" s="913">
        <v>0</v>
      </c>
      <c r="L31" s="919" t="str">
        <f t="shared" si="4"/>
        <v>DSA Charter Reduction-Outside Revs</v>
      </c>
      <c r="M31" s="919">
        <f t="shared" si="5"/>
        <v>0</v>
      </c>
    </row>
    <row r="32" spans="1:13" x14ac:dyDescent="0.2">
      <c r="B32" s="37" t="s">
        <v>293</v>
      </c>
      <c r="C32" s="913">
        <v>0</v>
      </c>
      <c r="D32" s="913">
        <v>0</v>
      </c>
      <c r="E32" s="913">
        <v>231884</v>
      </c>
      <c r="F32" s="913">
        <v>0</v>
      </c>
      <c r="G32" s="913">
        <v>0</v>
      </c>
      <c r="H32" s="913">
        <v>0</v>
      </c>
      <c r="I32" s="913">
        <v>0</v>
      </c>
      <c r="J32" s="913">
        <v>0</v>
      </c>
      <c r="K32" s="913">
        <v>0</v>
      </c>
      <c r="L32" s="919" t="str">
        <f t="shared" si="4"/>
        <v>Special Education - DSA Funding</v>
      </c>
      <c r="M32" s="919">
        <f t="shared" si="5"/>
        <v>231884</v>
      </c>
    </row>
    <row r="33" spans="1:21" x14ac:dyDescent="0.2">
      <c r="B33" s="37" t="s">
        <v>475</v>
      </c>
      <c r="C33" s="913">
        <v>0</v>
      </c>
      <c r="D33" s="913">
        <v>50000</v>
      </c>
      <c r="E33" s="913">
        <v>0</v>
      </c>
      <c r="F33" s="913">
        <v>0</v>
      </c>
      <c r="G33" s="913">
        <v>0</v>
      </c>
      <c r="H33" s="913">
        <v>0</v>
      </c>
      <c r="I33" s="913">
        <v>0</v>
      </c>
      <c r="J33" s="913">
        <v>0</v>
      </c>
      <c r="K33" s="913">
        <v>0</v>
      </c>
      <c r="L33" s="919" t="str">
        <f t="shared" si="4"/>
        <v>Counseling - DSA Funding</v>
      </c>
      <c r="M33" s="919">
        <f t="shared" si="5"/>
        <v>50000</v>
      </c>
    </row>
    <row r="34" spans="1:21" hidden="1" x14ac:dyDescent="0.2">
      <c r="B34" s="37" t="s">
        <v>294</v>
      </c>
      <c r="C34" s="913">
        <v>0</v>
      </c>
      <c r="D34" s="913">
        <v>0</v>
      </c>
      <c r="E34" s="913">
        <v>0</v>
      </c>
      <c r="F34" s="913">
        <v>0</v>
      </c>
      <c r="G34" s="913">
        <v>0</v>
      </c>
      <c r="H34" s="913">
        <v>0</v>
      </c>
      <c r="I34" s="913">
        <v>0</v>
      </c>
      <c r="J34" s="913">
        <v>0</v>
      </c>
      <c r="K34" s="913">
        <v>0</v>
      </c>
      <c r="L34" s="919" t="str">
        <f t="shared" si="4"/>
        <v>State Food Aid</v>
      </c>
      <c r="M34" s="919">
        <f t="shared" si="5"/>
        <v>0</v>
      </c>
    </row>
    <row r="35" spans="1:21" hidden="1" x14ac:dyDescent="0.2">
      <c r="B35" s="37" t="s">
        <v>295</v>
      </c>
      <c r="C35" s="913">
        <v>0</v>
      </c>
      <c r="D35" s="913">
        <v>0</v>
      </c>
      <c r="E35" s="913">
        <v>0</v>
      </c>
      <c r="F35" s="913">
        <v>0</v>
      </c>
      <c r="G35" s="913">
        <v>0</v>
      </c>
      <c r="H35" s="913">
        <v>0</v>
      </c>
      <c r="I35" s="913">
        <v>0</v>
      </c>
      <c r="J35" s="913">
        <v>0</v>
      </c>
      <c r="K35" s="913">
        <v>0</v>
      </c>
      <c r="L35" s="919" t="str">
        <f t="shared" si="4"/>
        <v>Restricted Funding/Grants-in-aid rev</v>
      </c>
      <c r="M35" s="919">
        <f t="shared" si="5"/>
        <v>0</v>
      </c>
    </row>
    <row r="36" spans="1:21" hidden="1" x14ac:dyDescent="0.2">
      <c r="B36" s="37" t="s">
        <v>296</v>
      </c>
      <c r="C36" s="913">
        <v>0</v>
      </c>
      <c r="D36" s="913">
        <v>0</v>
      </c>
      <c r="E36" s="913">
        <v>0</v>
      </c>
      <c r="F36" s="913">
        <v>0</v>
      </c>
      <c r="G36" s="913">
        <v>0</v>
      </c>
      <c r="H36" s="913">
        <v>0</v>
      </c>
      <c r="I36" s="913">
        <v>0</v>
      </c>
      <c r="J36" s="913">
        <v>0</v>
      </c>
      <c r="K36" s="913">
        <v>0</v>
      </c>
      <c r="L36" s="919" t="str">
        <f t="shared" si="4"/>
        <v>Audult High School Diploma</v>
      </c>
      <c r="M36" s="919">
        <f t="shared" si="5"/>
        <v>0</v>
      </c>
    </row>
    <row r="37" spans="1:21" hidden="1" x14ac:dyDescent="0.2">
      <c r="B37" s="37" t="s">
        <v>553</v>
      </c>
      <c r="C37" s="913">
        <v>0</v>
      </c>
      <c r="D37" s="913">
        <v>0</v>
      </c>
      <c r="E37" s="913">
        <v>0</v>
      </c>
      <c r="F37" s="913">
        <v>0</v>
      </c>
      <c r="G37" s="913">
        <v>0</v>
      </c>
      <c r="H37" s="913">
        <v>0</v>
      </c>
      <c r="I37" s="913">
        <v>0</v>
      </c>
      <c r="J37" s="913">
        <v>0</v>
      </c>
      <c r="K37" s="913">
        <v>0</v>
      </c>
      <c r="L37" s="919" t="str">
        <f t="shared" si="4"/>
        <v>SB 178 NV Education Fund Plan</v>
      </c>
      <c r="M37" s="919">
        <f t="shared" si="5"/>
        <v>0</v>
      </c>
    </row>
    <row r="38" spans="1:21" hidden="1" x14ac:dyDescent="0.2">
      <c r="B38" s="37" t="s">
        <v>191</v>
      </c>
      <c r="C38" s="913">
        <v>0</v>
      </c>
      <c r="D38" s="913">
        <v>0</v>
      </c>
      <c r="E38" s="913">
        <v>0</v>
      </c>
      <c r="F38" s="913">
        <v>0</v>
      </c>
      <c r="G38" s="913">
        <v>0</v>
      </c>
      <c r="H38" s="913">
        <v>0</v>
      </c>
      <c r="I38" s="913">
        <v>0</v>
      </c>
      <c r="J38" s="913">
        <v>0</v>
      </c>
      <c r="K38" s="913">
        <v>0</v>
      </c>
      <c r="L38" s="919" t="str">
        <f t="shared" si="4"/>
        <v>Class Size Reduction</v>
      </c>
      <c r="M38" s="919">
        <f t="shared" si="5"/>
        <v>0</v>
      </c>
    </row>
    <row r="39" spans="1:21" hidden="1" x14ac:dyDescent="0.2">
      <c r="B39" s="37" t="s">
        <v>386</v>
      </c>
      <c r="C39" s="913">
        <v>0</v>
      </c>
      <c r="D39" s="913">
        <v>0</v>
      </c>
      <c r="E39" s="913">
        <v>0</v>
      </c>
      <c r="F39" s="913">
        <v>0</v>
      </c>
      <c r="G39" s="913">
        <v>0</v>
      </c>
      <c r="H39" s="913">
        <v>0</v>
      </c>
      <c r="I39" s="913">
        <v>0</v>
      </c>
      <c r="J39" s="913">
        <v>0</v>
      </c>
      <c r="K39" s="913">
        <v>0</v>
      </c>
      <c r="L39" s="919" t="str">
        <f t="shared" si="4"/>
        <v>For/on behalf of School District</v>
      </c>
      <c r="M39" s="919">
        <f t="shared" si="5"/>
        <v>0</v>
      </c>
    </row>
    <row r="40" spans="1:21" hidden="1" x14ac:dyDescent="0.2">
      <c r="B40" s="37"/>
      <c r="C40" s="913"/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43"/>
      <c r="O40" s="43"/>
      <c r="P40" s="43"/>
      <c r="Q40" s="43"/>
      <c r="R40" s="43"/>
      <c r="S40" s="43"/>
      <c r="T40" s="44"/>
      <c r="U40" s="44"/>
    </row>
    <row r="41" spans="1:21" s="2" customFormat="1" x14ac:dyDescent="0.2">
      <c r="B41" s="39" t="s">
        <v>125</v>
      </c>
      <c r="C41" s="931">
        <f>SUM(C29:C40)</f>
        <v>1215806</v>
      </c>
      <c r="D41" s="931">
        <f t="shared" ref="D41:K41" si="6">SUM(D29:D40)</f>
        <v>50000</v>
      </c>
      <c r="E41" s="931">
        <f t="shared" si="6"/>
        <v>231884</v>
      </c>
      <c r="F41" s="931">
        <f t="shared" si="6"/>
        <v>0</v>
      </c>
      <c r="G41" s="931">
        <f t="shared" si="6"/>
        <v>0</v>
      </c>
      <c r="H41" s="931">
        <f t="shared" si="6"/>
        <v>0</v>
      </c>
      <c r="I41" s="931">
        <f t="shared" si="6"/>
        <v>0</v>
      </c>
      <c r="J41" s="931">
        <f t="shared" si="6"/>
        <v>0</v>
      </c>
      <c r="K41" s="931">
        <f t="shared" si="6"/>
        <v>0</v>
      </c>
      <c r="L41" s="930">
        <f>SUM(C41:K41)</f>
        <v>1497690</v>
      </c>
      <c r="M41" s="903"/>
      <c r="N41" s="20">
        <f>SUM(N5:N40)</f>
        <v>9738158</v>
      </c>
    </row>
    <row r="42" spans="1:21" x14ac:dyDescent="0.2">
      <c r="B42" s="16"/>
      <c r="C42" s="916"/>
      <c r="D42" s="916"/>
      <c r="E42" s="916"/>
      <c r="F42" s="916"/>
      <c r="G42" s="916"/>
      <c r="H42" s="916"/>
      <c r="I42" s="916"/>
      <c r="J42" s="916"/>
      <c r="K42" s="916"/>
      <c r="L42" s="922"/>
      <c r="M42" s="908"/>
    </row>
    <row r="43" spans="1:21" s="37" customFormat="1" hidden="1" x14ac:dyDescent="0.2">
      <c r="A43" s="45"/>
      <c r="B43" s="37" t="s">
        <v>297</v>
      </c>
      <c r="C43" s="920">
        <v>0</v>
      </c>
      <c r="D43" s="920">
        <v>0</v>
      </c>
      <c r="E43" s="920">
        <v>0</v>
      </c>
      <c r="F43" s="920">
        <v>0</v>
      </c>
      <c r="G43" s="920">
        <v>0</v>
      </c>
      <c r="H43" s="920">
        <v>0</v>
      </c>
      <c r="I43" s="920">
        <v>0</v>
      </c>
      <c r="J43" s="920">
        <v>0</v>
      </c>
      <c r="K43" s="920">
        <v>0</v>
      </c>
      <c r="L43" s="921" t="str">
        <f t="shared" ref="L43:L52" si="7">B43</f>
        <v>Medicaid SBCHS Reimbursement</v>
      </c>
      <c r="M43" s="921">
        <f t="shared" ref="M43:M52" si="8">SUM(C43:K43)</f>
        <v>0</v>
      </c>
    </row>
    <row r="44" spans="1:21" s="37" customFormat="1" hidden="1" x14ac:dyDescent="0.2">
      <c r="A44" s="45"/>
      <c r="B44" s="37" t="s">
        <v>390</v>
      </c>
      <c r="C44" s="920">
        <v>0</v>
      </c>
      <c r="D44" s="920">
        <v>0</v>
      </c>
      <c r="E44" s="920">
        <v>0</v>
      </c>
      <c r="F44" s="920">
        <v>0</v>
      </c>
      <c r="G44" s="920">
        <v>0</v>
      </c>
      <c r="H44" s="920">
        <v>0</v>
      </c>
      <c r="I44" s="920">
        <v>0</v>
      </c>
      <c r="J44" s="920">
        <v>0</v>
      </c>
      <c r="K44" s="920">
        <v>0</v>
      </c>
      <c r="L44" s="921" t="str">
        <f t="shared" si="7"/>
        <v>Unrestricted - Direct Fed Gov't</v>
      </c>
      <c r="M44" s="921">
        <f t="shared" si="8"/>
        <v>0</v>
      </c>
    </row>
    <row r="45" spans="1:21" s="37" customFormat="1" x14ac:dyDescent="0.2">
      <c r="A45" s="45"/>
      <c r="B45" s="37" t="s">
        <v>617</v>
      </c>
      <c r="C45" s="920">
        <v>60432</v>
      </c>
      <c r="D45" s="920">
        <v>0</v>
      </c>
      <c r="E45" s="920">
        <v>0</v>
      </c>
      <c r="F45" s="920">
        <v>0</v>
      </c>
      <c r="G45" s="920">
        <v>0</v>
      </c>
      <c r="H45" s="920">
        <v>0</v>
      </c>
      <c r="I45" s="920">
        <v>0</v>
      </c>
      <c r="J45" s="920">
        <v>0</v>
      </c>
      <c r="K45" s="920">
        <v>0</v>
      </c>
      <c r="L45" s="921" t="str">
        <f t="shared" si="7"/>
        <v>Unrestricted - State Agency</v>
      </c>
      <c r="M45" s="921">
        <f t="shared" si="8"/>
        <v>60432</v>
      </c>
    </row>
    <row r="46" spans="1:21" s="37" customFormat="1" hidden="1" x14ac:dyDescent="0.2">
      <c r="A46" s="45"/>
      <c r="B46" s="37" t="s">
        <v>599</v>
      </c>
      <c r="C46" s="920">
        <v>0</v>
      </c>
      <c r="D46" s="920">
        <v>0</v>
      </c>
      <c r="E46" s="920">
        <v>0</v>
      </c>
      <c r="F46" s="920">
        <v>0</v>
      </c>
      <c r="G46" s="920">
        <v>0</v>
      </c>
      <c r="H46" s="920">
        <v>0</v>
      </c>
      <c r="I46" s="920">
        <v>0</v>
      </c>
      <c r="J46" s="920">
        <v>0</v>
      </c>
      <c r="K46" s="920">
        <v>0</v>
      </c>
      <c r="L46" s="921" t="str">
        <f t="shared" si="7"/>
        <v>Restricted - Direct Fed Gov't</v>
      </c>
      <c r="M46" s="921">
        <f t="shared" si="8"/>
        <v>0</v>
      </c>
    </row>
    <row r="47" spans="1:21" s="37" customFormat="1" x14ac:dyDescent="0.2">
      <c r="A47" s="45"/>
      <c r="B47" s="37" t="s">
        <v>299</v>
      </c>
      <c r="C47" s="920">
        <v>0</v>
      </c>
      <c r="D47" s="920">
        <v>0</v>
      </c>
      <c r="E47" s="920">
        <v>0</v>
      </c>
      <c r="F47" s="920">
        <v>310822</v>
      </c>
      <c r="G47" s="920">
        <v>0</v>
      </c>
      <c r="H47" s="920">
        <v>0</v>
      </c>
      <c r="I47" s="920">
        <v>0</v>
      </c>
      <c r="J47" s="920">
        <v>0</v>
      </c>
      <c r="K47" s="920">
        <v>0</v>
      </c>
      <c r="L47" s="921" t="str">
        <f t="shared" si="7"/>
        <v>Restricted - Direct</v>
      </c>
      <c r="M47" s="921">
        <f t="shared" si="8"/>
        <v>310822</v>
      </c>
    </row>
    <row r="48" spans="1:21" s="37" customFormat="1" hidden="1" x14ac:dyDescent="0.2">
      <c r="A48" s="45"/>
      <c r="B48" s="37" t="s">
        <v>298</v>
      </c>
      <c r="C48" s="920">
        <v>0</v>
      </c>
      <c r="D48" s="920">
        <v>0</v>
      </c>
      <c r="E48" s="920">
        <v>0</v>
      </c>
      <c r="F48" s="920">
        <v>0</v>
      </c>
      <c r="G48" s="920">
        <v>0</v>
      </c>
      <c r="H48" s="920">
        <v>0</v>
      </c>
      <c r="I48" s="920">
        <v>0</v>
      </c>
      <c r="J48" s="920">
        <v>0</v>
      </c>
      <c r="K48" s="920">
        <v>0</v>
      </c>
      <c r="L48" s="921" t="str">
        <f t="shared" si="7"/>
        <v>Restricted - State Agency</v>
      </c>
      <c r="M48" s="921">
        <f t="shared" si="8"/>
        <v>0</v>
      </c>
    </row>
    <row r="49" spans="1:21" s="37" customFormat="1" hidden="1" x14ac:dyDescent="0.2">
      <c r="A49" s="45"/>
      <c r="B49" s="37" t="s">
        <v>476</v>
      </c>
      <c r="C49" s="920">
        <v>0</v>
      </c>
      <c r="D49" s="920">
        <v>0</v>
      </c>
      <c r="E49" s="920">
        <v>0</v>
      </c>
      <c r="F49" s="920">
        <v>0</v>
      </c>
      <c r="G49" s="920">
        <v>0</v>
      </c>
      <c r="H49" s="920">
        <v>0</v>
      </c>
      <c r="I49" s="920">
        <v>0</v>
      </c>
      <c r="J49" s="920">
        <v>0</v>
      </c>
      <c r="K49" s="920">
        <v>0</v>
      </c>
      <c r="L49" s="921" t="str">
        <f t="shared" si="7"/>
        <v>Restricted - Other Agency</v>
      </c>
      <c r="M49" s="921">
        <f t="shared" si="8"/>
        <v>0</v>
      </c>
    </row>
    <row r="50" spans="1:21" s="37" customFormat="1" x14ac:dyDescent="0.2">
      <c r="A50" s="45"/>
      <c r="B50" s="37" t="s">
        <v>626</v>
      </c>
      <c r="C50" s="913">
        <v>0</v>
      </c>
      <c r="D50" s="913">
        <v>0</v>
      </c>
      <c r="E50" s="913">
        <v>0</v>
      </c>
      <c r="F50" s="913">
        <v>0</v>
      </c>
      <c r="G50" s="913">
        <v>5000000</v>
      </c>
      <c r="H50" s="913">
        <v>0</v>
      </c>
      <c r="I50" s="913">
        <v>0</v>
      </c>
      <c r="J50" s="913">
        <v>0</v>
      </c>
      <c r="K50" s="913">
        <v>-5000000</v>
      </c>
      <c r="L50" s="921" t="str">
        <f t="shared" si="7"/>
        <v>Fund Transfers In</v>
      </c>
      <c r="M50" s="921">
        <f t="shared" si="8"/>
        <v>0</v>
      </c>
    </row>
    <row r="51" spans="1:21" s="37" customFormat="1" hidden="1" x14ac:dyDescent="0.2">
      <c r="A51" s="45"/>
      <c r="B51" s="37" t="s">
        <v>398</v>
      </c>
      <c r="C51" s="913">
        <v>0</v>
      </c>
      <c r="D51" s="913">
        <v>0</v>
      </c>
      <c r="E51" s="913">
        <v>0</v>
      </c>
      <c r="F51" s="913">
        <v>0</v>
      </c>
      <c r="G51" s="913">
        <v>0</v>
      </c>
      <c r="H51" s="913">
        <v>0</v>
      </c>
      <c r="I51" s="913">
        <v>0</v>
      </c>
      <c r="J51" s="913">
        <v>0</v>
      </c>
      <c r="K51" s="913">
        <v>0</v>
      </c>
      <c r="L51" s="921" t="str">
        <f t="shared" si="7"/>
        <v>Revenue in Lieu of Taxes</v>
      </c>
      <c r="M51" s="921">
        <f t="shared" si="8"/>
        <v>0</v>
      </c>
    </row>
    <row r="52" spans="1:21" hidden="1" x14ac:dyDescent="0.2">
      <c r="B52" s="37" t="s">
        <v>554</v>
      </c>
      <c r="C52" s="913">
        <v>0</v>
      </c>
      <c r="D52" s="913">
        <v>0</v>
      </c>
      <c r="E52" s="913">
        <v>0</v>
      </c>
      <c r="F52" s="913">
        <v>0</v>
      </c>
      <c r="G52" s="913">
        <v>0</v>
      </c>
      <c r="H52" s="913">
        <v>0</v>
      </c>
      <c r="I52" s="913">
        <v>0</v>
      </c>
      <c r="J52" s="913">
        <v>0</v>
      </c>
      <c r="K52" s="913">
        <v>0</v>
      </c>
      <c r="L52" s="919" t="str">
        <f t="shared" si="7"/>
        <v>Revenue for/on behalf of School District</v>
      </c>
      <c r="M52" s="919">
        <f t="shared" si="8"/>
        <v>0</v>
      </c>
    </row>
    <row r="53" spans="1:21" hidden="1" x14ac:dyDescent="0.2">
      <c r="B53" s="37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43"/>
      <c r="O53" s="43"/>
      <c r="P53" s="43"/>
      <c r="Q53" s="43"/>
      <c r="R53" s="43"/>
      <c r="S53" s="43"/>
      <c r="T53" s="44"/>
      <c r="U53" s="44"/>
    </row>
    <row r="54" spans="1:21" s="2" customFormat="1" x14ac:dyDescent="0.2">
      <c r="B54" s="39" t="s">
        <v>126</v>
      </c>
      <c r="C54" s="931">
        <f>SUM(C42:C53)</f>
        <v>60432</v>
      </c>
      <c r="D54" s="931">
        <f t="shared" ref="D54:K54" si="9">SUM(D42:D53)</f>
        <v>0</v>
      </c>
      <c r="E54" s="931">
        <f t="shared" si="9"/>
        <v>0</v>
      </c>
      <c r="F54" s="931">
        <f t="shared" si="9"/>
        <v>310822</v>
      </c>
      <c r="G54" s="931">
        <f t="shared" si="9"/>
        <v>5000000</v>
      </c>
      <c r="H54" s="931">
        <f t="shared" si="9"/>
        <v>0</v>
      </c>
      <c r="I54" s="931">
        <f t="shared" si="9"/>
        <v>0</v>
      </c>
      <c r="J54" s="931">
        <f t="shared" si="9"/>
        <v>0</v>
      </c>
      <c r="K54" s="931">
        <f t="shared" si="9"/>
        <v>-5000000</v>
      </c>
      <c r="L54" s="930">
        <f>SUM(C54:K54)</f>
        <v>371254</v>
      </c>
      <c r="M54" s="903"/>
    </row>
    <row r="55" spans="1:21" x14ac:dyDescent="0.2">
      <c r="B55" s="16"/>
      <c r="C55" s="916"/>
      <c r="D55" s="916"/>
      <c r="E55" s="916"/>
      <c r="F55" s="916"/>
      <c r="G55" s="916"/>
      <c r="H55" s="916"/>
      <c r="I55" s="916"/>
      <c r="J55" s="916"/>
      <c r="K55" s="916"/>
      <c r="L55" s="922"/>
      <c r="M55" s="908"/>
    </row>
    <row r="56" spans="1:21" hidden="1" x14ac:dyDescent="0.2">
      <c r="B56" t="s">
        <v>300</v>
      </c>
      <c r="C56" s="913">
        <v>0</v>
      </c>
      <c r="D56" s="913">
        <v>0</v>
      </c>
      <c r="E56" s="913">
        <v>0</v>
      </c>
      <c r="F56" s="913">
        <v>0</v>
      </c>
      <c r="G56" s="913">
        <v>0</v>
      </c>
      <c r="H56" s="913">
        <v>0</v>
      </c>
      <c r="I56" s="913">
        <v>0</v>
      </c>
      <c r="J56" s="913">
        <v>0</v>
      </c>
      <c r="K56" s="913">
        <v>0</v>
      </c>
      <c r="L56" s="921" t="str">
        <f>B56</f>
        <v xml:space="preserve">Bond Principal </v>
      </c>
      <c r="M56" s="921">
        <f>SUM(C56:K56)</f>
        <v>0</v>
      </c>
    </row>
    <row r="57" spans="1:21" hidden="1" x14ac:dyDescent="0.2">
      <c r="B57" s="3" t="s">
        <v>408</v>
      </c>
      <c r="C57" s="913">
        <v>0</v>
      </c>
      <c r="D57" s="913">
        <v>0</v>
      </c>
      <c r="E57" s="913">
        <v>0</v>
      </c>
      <c r="F57" s="913">
        <v>0</v>
      </c>
      <c r="G57" s="913">
        <v>0</v>
      </c>
      <c r="H57" s="913">
        <v>0</v>
      </c>
      <c r="I57" s="913">
        <v>0</v>
      </c>
      <c r="J57" s="913">
        <v>0</v>
      </c>
      <c r="K57" s="913">
        <v>0</v>
      </c>
      <c r="L57" s="921" t="str">
        <f>B57</f>
        <v>Premium/Discount of Bond Sale</v>
      </c>
      <c r="M57" s="921">
        <f>SUM(C57:K57)</f>
        <v>0</v>
      </c>
    </row>
    <row r="58" spans="1:21" s="37" customFormat="1" x14ac:dyDescent="0.2">
      <c r="A58" s="45"/>
      <c r="B58" s="37" t="s">
        <v>301</v>
      </c>
      <c r="C58" s="913">
        <v>0</v>
      </c>
      <c r="D58" s="913">
        <v>0</v>
      </c>
      <c r="E58" s="913">
        <v>200000</v>
      </c>
      <c r="F58" s="913">
        <v>0</v>
      </c>
      <c r="G58" s="913">
        <v>0</v>
      </c>
      <c r="H58" s="913">
        <v>0</v>
      </c>
      <c r="I58" s="913">
        <v>0</v>
      </c>
      <c r="J58" s="913">
        <v>0</v>
      </c>
      <c r="K58" s="913">
        <v>-200000</v>
      </c>
      <c r="L58" s="921" t="str">
        <f>B58</f>
        <v>Transfers from Other Funds</v>
      </c>
      <c r="M58" s="921">
        <f>SUM(C58:K58)</f>
        <v>0</v>
      </c>
    </row>
    <row r="59" spans="1:21" s="37" customFormat="1" hidden="1" x14ac:dyDescent="0.2">
      <c r="A59" s="45"/>
      <c r="B59" s="37" t="s">
        <v>302</v>
      </c>
      <c r="C59" s="913">
        <v>0</v>
      </c>
      <c r="D59" s="913">
        <v>0</v>
      </c>
      <c r="E59" s="913">
        <v>0</v>
      </c>
      <c r="F59" s="913">
        <v>0</v>
      </c>
      <c r="G59" s="913">
        <v>0</v>
      </c>
      <c r="H59" s="913">
        <v>0</v>
      </c>
      <c r="I59" s="913">
        <v>0</v>
      </c>
      <c r="J59" s="913">
        <v>0</v>
      </c>
      <c r="K59" s="913">
        <v>0</v>
      </c>
      <c r="L59" s="921" t="str">
        <f>B59</f>
        <v xml:space="preserve">Gain/Loss Disposal of Assets </v>
      </c>
      <c r="M59" s="921">
        <f>SUM(C59:K59)</f>
        <v>0</v>
      </c>
    </row>
    <row r="60" spans="1:21" hidden="1" x14ac:dyDescent="0.2">
      <c r="C60" s="916"/>
      <c r="D60" s="916"/>
      <c r="E60" s="916"/>
      <c r="F60" s="916"/>
      <c r="G60" s="916"/>
      <c r="H60" s="916"/>
      <c r="I60" s="916"/>
      <c r="J60" s="916"/>
      <c r="K60" s="916"/>
      <c r="L60" s="922"/>
      <c r="M60" s="908"/>
    </row>
    <row r="61" spans="1:21" s="2" customFormat="1" x14ac:dyDescent="0.2">
      <c r="B61" s="39" t="s">
        <v>127</v>
      </c>
      <c r="C61" s="931">
        <f>SUM(C55:C60)</f>
        <v>0</v>
      </c>
      <c r="D61" s="931">
        <f t="shared" ref="D61:K61" si="10">SUM(D55:D60)</f>
        <v>0</v>
      </c>
      <c r="E61" s="931">
        <f t="shared" si="10"/>
        <v>200000</v>
      </c>
      <c r="F61" s="931">
        <f t="shared" si="10"/>
        <v>0</v>
      </c>
      <c r="G61" s="931">
        <f t="shared" si="10"/>
        <v>0</v>
      </c>
      <c r="H61" s="931">
        <f t="shared" si="10"/>
        <v>0</v>
      </c>
      <c r="I61" s="931">
        <f t="shared" si="10"/>
        <v>0</v>
      </c>
      <c r="J61" s="931">
        <f t="shared" si="10"/>
        <v>0</v>
      </c>
      <c r="K61" s="931">
        <f t="shared" si="10"/>
        <v>-200000</v>
      </c>
      <c r="L61" s="930">
        <f>SUM(C61:K61)</f>
        <v>0</v>
      </c>
      <c r="M61" s="903"/>
    </row>
    <row r="62" spans="1:21" x14ac:dyDescent="0.2">
      <c r="C62" s="916"/>
      <c r="D62" s="916"/>
      <c r="E62" s="916"/>
      <c r="F62" s="916"/>
      <c r="G62" s="916"/>
      <c r="H62" s="916"/>
      <c r="I62" s="916"/>
      <c r="J62" s="916"/>
      <c r="K62" s="916"/>
      <c r="L62" s="922"/>
      <c r="M62" s="908"/>
    </row>
    <row r="63" spans="1:21" s="2" customFormat="1" x14ac:dyDescent="0.2">
      <c r="B63" s="18" t="s">
        <v>128</v>
      </c>
      <c r="C63" s="931">
        <f>SUM(C61,C54,C41,C28)</f>
        <v>12080396</v>
      </c>
      <c r="D63" s="931">
        <f t="shared" ref="D63:K63" si="11">SUM(D61,D54,D41,D28)</f>
        <v>50000</v>
      </c>
      <c r="E63" s="931">
        <f t="shared" si="11"/>
        <v>431884</v>
      </c>
      <c r="F63" s="931">
        <f t="shared" si="11"/>
        <v>310822</v>
      </c>
      <c r="G63" s="931">
        <f t="shared" si="11"/>
        <v>5000000</v>
      </c>
      <c r="H63" s="931">
        <f t="shared" si="11"/>
        <v>60000</v>
      </c>
      <c r="I63" s="931">
        <f t="shared" si="11"/>
        <v>0</v>
      </c>
      <c r="J63" s="931">
        <f t="shared" si="11"/>
        <v>0</v>
      </c>
      <c r="K63" s="931">
        <f t="shared" si="11"/>
        <v>-5200000</v>
      </c>
      <c r="L63" s="930">
        <f>SUM(L28:L62)</f>
        <v>12733102</v>
      </c>
      <c r="M63" s="903"/>
    </row>
    <row r="64" spans="1:21" s="2" customFormat="1" x14ac:dyDescent="0.2">
      <c r="B64" s="18"/>
      <c r="C64" s="931"/>
      <c r="D64" s="931"/>
      <c r="E64" s="931"/>
      <c r="F64" s="931"/>
      <c r="G64" s="931"/>
      <c r="H64" s="931"/>
      <c r="I64" s="931"/>
      <c r="J64" s="931"/>
      <c r="K64" s="931"/>
      <c r="L64" s="930"/>
      <c r="M64" s="903"/>
    </row>
    <row r="65" spans="1:14" s="37" customFormat="1" hidden="1" x14ac:dyDescent="0.2">
      <c r="A65" s="45"/>
      <c r="B65" s="37" t="s">
        <v>303</v>
      </c>
      <c r="C65" s="920">
        <v>0</v>
      </c>
      <c r="D65" s="920">
        <v>0</v>
      </c>
      <c r="E65" s="920">
        <v>0</v>
      </c>
      <c r="F65" s="920">
        <v>0</v>
      </c>
      <c r="G65" s="920">
        <v>0</v>
      </c>
      <c r="H65" s="920">
        <v>0</v>
      </c>
      <c r="I65" s="920">
        <v>0</v>
      </c>
      <c r="J65" s="920">
        <v>0</v>
      </c>
      <c r="K65" s="920">
        <v>0</v>
      </c>
      <c r="L65" s="921" t="str">
        <f>B65</f>
        <v>Reserved Opening Balance</v>
      </c>
      <c r="M65" s="921">
        <f>SUM(C65:K65)</f>
        <v>0</v>
      </c>
    </row>
    <row r="66" spans="1:14" s="37" customFormat="1" hidden="1" x14ac:dyDescent="0.2">
      <c r="A66" s="45"/>
      <c r="B66" s="37" t="s">
        <v>600</v>
      </c>
      <c r="C66" s="920">
        <v>0</v>
      </c>
      <c r="D66" s="920">
        <v>0</v>
      </c>
      <c r="E66" s="920">
        <v>0</v>
      </c>
      <c r="F66" s="920">
        <v>0</v>
      </c>
      <c r="G66" s="920">
        <v>0</v>
      </c>
      <c r="H66" s="920">
        <v>0</v>
      </c>
      <c r="I66" s="920">
        <v>0</v>
      </c>
      <c r="J66" s="920">
        <v>0</v>
      </c>
      <c r="K66" s="920">
        <v>0</v>
      </c>
      <c r="L66" s="921" t="str">
        <f>B66</f>
        <v>Unreserved Opening Balance</v>
      </c>
      <c r="M66" s="921">
        <f>SUM(C66:K66)</f>
        <v>0</v>
      </c>
    </row>
    <row r="67" spans="1:14" s="37" customFormat="1" x14ac:dyDescent="0.2">
      <c r="A67" s="45"/>
      <c r="B67" s="37" t="s">
        <v>304</v>
      </c>
      <c r="C67" s="920">
        <v>28388888</v>
      </c>
      <c r="D67" s="920">
        <v>0</v>
      </c>
      <c r="E67" s="920">
        <v>604824</v>
      </c>
      <c r="F67" s="920">
        <v>0</v>
      </c>
      <c r="G67" s="920">
        <v>2144774</v>
      </c>
      <c r="H67" s="920">
        <v>529683</v>
      </c>
      <c r="I67" s="920">
        <v>31000000</v>
      </c>
      <c r="J67" s="920">
        <v>1000000</v>
      </c>
      <c r="K67" s="920">
        <v>0</v>
      </c>
      <c r="L67" s="921" t="str">
        <f>B67</f>
        <v>Opening Balance (Other)</v>
      </c>
      <c r="M67" s="921">
        <f>SUM(C67:K67)</f>
        <v>63668169</v>
      </c>
    </row>
    <row r="68" spans="1:14" s="37" customFormat="1" hidden="1" x14ac:dyDescent="0.2">
      <c r="A68" s="45"/>
      <c r="B68" s="37" t="s">
        <v>305</v>
      </c>
      <c r="C68" s="920">
        <v>0</v>
      </c>
      <c r="D68" s="920">
        <v>0</v>
      </c>
      <c r="E68" s="920">
        <v>0</v>
      </c>
      <c r="F68" s="920">
        <v>0</v>
      </c>
      <c r="G68" s="920">
        <v>0</v>
      </c>
      <c r="H68" s="920">
        <v>0</v>
      </c>
      <c r="I68" s="920">
        <v>0</v>
      </c>
      <c r="J68" s="920">
        <v>0</v>
      </c>
      <c r="K68" s="920">
        <v>0</v>
      </c>
      <c r="L68" s="921" t="str">
        <f>B68</f>
        <v>Reverted to State</v>
      </c>
      <c r="M68" s="921">
        <f>SUM(C68:K68)</f>
        <v>0</v>
      </c>
    </row>
    <row r="69" spans="1:14" hidden="1" x14ac:dyDescent="0.2">
      <c r="C69" s="916"/>
      <c r="D69" s="916"/>
      <c r="E69" s="916"/>
      <c r="F69" s="916"/>
      <c r="G69" s="916"/>
      <c r="H69" s="916"/>
      <c r="I69" s="916"/>
      <c r="J69" s="916"/>
      <c r="K69" s="916"/>
      <c r="L69" s="908"/>
      <c r="M69" s="908"/>
    </row>
    <row r="70" spans="1:14" s="2" customFormat="1" x14ac:dyDescent="0.2">
      <c r="B70" s="39" t="s">
        <v>129</v>
      </c>
      <c r="C70" s="931">
        <f>SUM(C64:C69)</f>
        <v>28388888</v>
      </c>
      <c r="D70" s="931">
        <f t="shared" ref="D70:K70" si="12">SUM(D64:D69)</f>
        <v>0</v>
      </c>
      <c r="E70" s="931">
        <f t="shared" si="12"/>
        <v>604824</v>
      </c>
      <c r="F70" s="931">
        <f t="shared" si="12"/>
        <v>0</v>
      </c>
      <c r="G70" s="931">
        <f t="shared" si="12"/>
        <v>2144774</v>
      </c>
      <c r="H70" s="931">
        <f t="shared" si="12"/>
        <v>529683</v>
      </c>
      <c r="I70" s="931">
        <f t="shared" si="12"/>
        <v>31000000</v>
      </c>
      <c r="J70" s="931">
        <f t="shared" si="12"/>
        <v>1000000</v>
      </c>
      <c r="K70" s="931">
        <f t="shared" si="12"/>
        <v>0</v>
      </c>
      <c r="L70" s="931">
        <f>SUM(C70:K70)</f>
        <v>63668169</v>
      </c>
      <c r="M70" s="903"/>
    </row>
    <row r="72" spans="1:14" x14ac:dyDescent="0.2">
      <c r="A72" s="22"/>
      <c r="B72" s="23" t="s">
        <v>306</v>
      </c>
      <c r="C72" s="24">
        <f>SUM(C70,C63)</f>
        <v>40469284</v>
      </c>
      <c r="D72" s="24">
        <f t="shared" ref="D72:K72" si="13">SUM(D70,D63)</f>
        <v>50000</v>
      </c>
      <c r="E72" s="24">
        <f t="shared" si="13"/>
        <v>1036708</v>
      </c>
      <c r="F72" s="24">
        <f t="shared" si="13"/>
        <v>310822</v>
      </c>
      <c r="G72" s="24">
        <f t="shared" si="13"/>
        <v>7144774</v>
      </c>
      <c r="H72" s="24">
        <f t="shared" si="13"/>
        <v>589683</v>
      </c>
      <c r="I72" s="24">
        <f t="shared" si="13"/>
        <v>31000000</v>
      </c>
      <c r="J72" s="24">
        <f t="shared" si="13"/>
        <v>1000000</v>
      </c>
      <c r="K72" s="24">
        <f t="shared" si="13"/>
        <v>-5200000</v>
      </c>
      <c r="L72" s="25">
        <f>SUM(C72:K72)</f>
        <v>76401271</v>
      </c>
      <c r="M72" s="26">
        <f>F1-L72</f>
        <v>0</v>
      </c>
      <c r="N72" s="17"/>
    </row>
    <row r="73" spans="1:14" s="2" customFormat="1" x14ac:dyDescent="0.2">
      <c r="A73" s="27"/>
      <c r="B73" s="28" t="s">
        <v>131</v>
      </c>
      <c r="C73" s="285">
        <f t="shared" ref="C73:K73" si="14">SUM(C77:C212)</f>
        <v>40469284</v>
      </c>
      <c r="D73" s="285">
        <f t="shared" si="14"/>
        <v>50000</v>
      </c>
      <c r="E73" s="285">
        <f t="shared" si="14"/>
        <v>1036708</v>
      </c>
      <c r="F73" s="285">
        <f t="shared" si="14"/>
        <v>310822</v>
      </c>
      <c r="G73" s="285">
        <f t="shared" si="14"/>
        <v>7144774</v>
      </c>
      <c r="H73" s="285">
        <f t="shared" si="14"/>
        <v>589683</v>
      </c>
      <c r="I73" s="285">
        <f t="shared" si="14"/>
        <v>31000000</v>
      </c>
      <c r="J73" s="285">
        <f t="shared" si="14"/>
        <v>1000000</v>
      </c>
      <c r="K73" s="285">
        <f t="shared" si="14"/>
        <v>-5200000</v>
      </c>
      <c r="L73" s="29">
        <f>SUM(C73:K73)</f>
        <v>76401271</v>
      </c>
    </row>
    <row r="74" spans="1:14" x14ac:dyDescent="0.2">
      <c r="A74" s="30"/>
      <c r="B74" s="286" t="s">
        <v>132</v>
      </c>
      <c r="C74" s="287">
        <f t="shared" ref="C74:L74" si="15">C72-C73</f>
        <v>0</v>
      </c>
      <c r="D74" s="287">
        <f t="shared" si="15"/>
        <v>0</v>
      </c>
      <c r="E74" s="287">
        <f t="shared" si="15"/>
        <v>0</v>
      </c>
      <c r="F74" s="287">
        <f t="shared" si="15"/>
        <v>0</v>
      </c>
      <c r="G74" s="287">
        <f t="shared" si="15"/>
        <v>0</v>
      </c>
      <c r="H74" s="287">
        <f t="shared" si="15"/>
        <v>0</v>
      </c>
      <c r="I74" s="287">
        <f t="shared" si="15"/>
        <v>0</v>
      </c>
      <c r="J74" s="287">
        <f t="shared" si="15"/>
        <v>0</v>
      </c>
      <c r="K74" s="287">
        <f t="shared" si="15"/>
        <v>0</v>
      </c>
      <c r="L74" s="29">
        <f t="shared" si="15"/>
        <v>0</v>
      </c>
    </row>
    <row r="76" spans="1:14" x14ac:dyDescent="0.2">
      <c r="B76" s="2" t="s">
        <v>307</v>
      </c>
    </row>
    <row r="77" spans="1:14" x14ac:dyDescent="0.2">
      <c r="A77" s="2">
        <v>100</v>
      </c>
      <c r="B77" t="s">
        <v>134</v>
      </c>
      <c r="C77" s="916">
        <v>4477420</v>
      </c>
      <c r="D77" s="916">
        <v>0</v>
      </c>
      <c r="E77" s="916">
        <v>0</v>
      </c>
      <c r="F77" s="916">
        <v>0</v>
      </c>
      <c r="G77" s="916">
        <v>0</v>
      </c>
      <c r="H77" s="916">
        <v>0</v>
      </c>
      <c r="I77" s="916">
        <v>0</v>
      </c>
      <c r="J77" s="916">
        <v>0</v>
      </c>
      <c r="K77" s="916">
        <v>0</v>
      </c>
      <c r="L77" s="916">
        <f t="shared" ref="L77:L121" si="16">SUM(C77:K77)</f>
        <v>4477420</v>
      </c>
    </row>
    <row r="78" spans="1:14" x14ac:dyDescent="0.2">
      <c r="A78" s="2">
        <v>200</v>
      </c>
      <c r="B78" t="s">
        <v>135</v>
      </c>
      <c r="C78" s="916">
        <v>0</v>
      </c>
      <c r="D78" s="916">
        <v>0</v>
      </c>
      <c r="E78" s="916">
        <v>975200</v>
      </c>
      <c r="F78" s="916">
        <v>310822</v>
      </c>
      <c r="G78" s="916">
        <v>0</v>
      </c>
      <c r="H78" s="916">
        <v>0</v>
      </c>
      <c r="I78" s="916">
        <v>0</v>
      </c>
      <c r="J78" s="916">
        <v>0</v>
      </c>
      <c r="K78" s="916">
        <v>0</v>
      </c>
      <c r="L78" s="916">
        <f t="shared" si="16"/>
        <v>1286022</v>
      </c>
    </row>
    <row r="79" spans="1:14" hidden="1" x14ac:dyDescent="0.2">
      <c r="A79" s="2" t="s">
        <v>10</v>
      </c>
      <c r="B79" t="s">
        <v>136</v>
      </c>
      <c r="C79" s="916">
        <v>0</v>
      </c>
      <c r="D79" s="916">
        <v>0</v>
      </c>
      <c r="E79" s="916">
        <v>0</v>
      </c>
      <c r="F79" s="916">
        <v>0</v>
      </c>
      <c r="G79" s="916">
        <v>0</v>
      </c>
      <c r="H79" s="916">
        <v>0</v>
      </c>
      <c r="I79" s="916">
        <v>0</v>
      </c>
      <c r="J79" s="916">
        <v>0</v>
      </c>
      <c r="K79" s="916">
        <v>0</v>
      </c>
      <c r="L79" s="916">
        <f t="shared" si="16"/>
        <v>0</v>
      </c>
    </row>
    <row r="80" spans="1:14" hidden="1" x14ac:dyDescent="0.2">
      <c r="A80" s="2">
        <v>270</v>
      </c>
      <c r="B80" t="s">
        <v>137</v>
      </c>
      <c r="C80" s="916">
        <v>0</v>
      </c>
      <c r="D80" s="916">
        <v>0</v>
      </c>
      <c r="E80" s="916">
        <v>0</v>
      </c>
      <c r="F80" s="916">
        <v>0</v>
      </c>
      <c r="G80" s="916">
        <v>0</v>
      </c>
      <c r="H80" s="916">
        <v>0</v>
      </c>
      <c r="I80" s="916">
        <v>0</v>
      </c>
      <c r="J80" s="916">
        <v>0</v>
      </c>
      <c r="K80" s="916">
        <v>0</v>
      </c>
      <c r="L80" s="916">
        <f t="shared" si="16"/>
        <v>0</v>
      </c>
    </row>
    <row r="81" spans="1:12" hidden="1" x14ac:dyDescent="0.2">
      <c r="A81" s="2" t="s">
        <v>10</v>
      </c>
      <c r="B81" t="s">
        <v>138</v>
      </c>
      <c r="C81" s="916">
        <v>0</v>
      </c>
      <c r="D81" s="916">
        <v>0</v>
      </c>
      <c r="E81" s="916">
        <v>0</v>
      </c>
      <c r="F81" s="916">
        <v>0</v>
      </c>
      <c r="G81" s="916">
        <v>0</v>
      </c>
      <c r="H81" s="916">
        <v>0</v>
      </c>
      <c r="I81" s="916">
        <v>0</v>
      </c>
      <c r="J81" s="916">
        <v>0</v>
      </c>
      <c r="K81" s="916">
        <v>0</v>
      </c>
      <c r="L81" s="916">
        <f t="shared" si="16"/>
        <v>0</v>
      </c>
    </row>
    <row r="82" spans="1:12" x14ac:dyDescent="0.2">
      <c r="A82" s="2">
        <v>300</v>
      </c>
      <c r="B82" t="s">
        <v>139</v>
      </c>
      <c r="C82" s="916">
        <v>425418</v>
      </c>
      <c r="D82" s="916">
        <v>0</v>
      </c>
      <c r="E82" s="916">
        <v>0</v>
      </c>
      <c r="F82" s="916">
        <v>0</v>
      </c>
      <c r="G82" s="916">
        <v>0</v>
      </c>
      <c r="H82" s="916">
        <v>0</v>
      </c>
      <c r="I82" s="916">
        <v>0</v>
      </c>
      <c r="J82" s="916">
        <v>0</v>
      </c>
      <c r="K82" s="916">
        <v>0</v>
      </c>
      <c r="L82" s="916">
        <f t="shared" si="16"/>
        <v>425418</v>
      </c>
    </row>
    <row r="83" spans="1:12" hidden="1" x14ac:dyDescent="0.2">
      <c r="A83" s="2">
        <v>400</v>
      </c>
      <c r="B83" t="s">
        <v>140</v>
      </c>
      <c r="C83" s="916">
        <v>0</v>
      </c>
      <c r="D83" s="916">
        <v>0</v>
      </c>
      <c r="E83" s="916">
        <v>0</v>
      </c>
      <c r="F83" s="916">
        <v>0</v>
      </c>
      <c r="G83" s="916">
        <v>0</v>
      </c>
      <c r="H83" s="916">
        <v>0</v>
      </c>
      <c r="I83" s="916">
        <v>0</v>
      </c>
      <c r="J83" s="916">
        <v>0</v>
      </c>
      <c r="K83" s="916">
        <v>0</v>
      </c>
      <c r="L83" s="916">
        <f t="shared" si="16"/>
        <v>0</v>
      </c>
    </row>
    <row r="84" spans="1:12" hidden="1" x14ac:dyDescent="0.2">
      <c r="A84" s="2" t="s">
        <v>10</v>
      </c>
      <c r="B84" t="s">
        <v>141</v>
      </c>
      <c r="C84" s="916">
        <v>0</v>
      </c>
      <c r="D84" s="916">
        <v>0</v>
      </c>
      <c r="E84" s="916">
        <v>0</v>
      </c>
      <c r="F84" s="916">
        <v>0</v>
      </c>
      <c r="G84" s="916">
        <v>0</v>
      </c>
      <c r="H84" s="916">
        <v>0</v>
      </c>
      <c r="I84" s="916">
        <v>0</v>
      </c>
      <c r="J84" s="916">
        <v>0</v>
      </c>
      <c r="K84" s="916">
        <v>0</v>
      </c>
      <c r="L84" s="916">
        <f t="shared" si="16"/>
        <v>0</v>
      </c>
    </row>
    <row r="85" spans="1:12" hidden="1" x14ac:dyDescent="0.2">
      <c r="A85" s="2" t="s">
        <v>10</v>
      </c>
      <c r="B85" t="s">
        <v>142</v>
      </c>
      <c r="C85" s="916">
        <v>0</v>
      </c>
      <c r="D85" s="916">
        <v>0</v>
      </c>
      <c r="E85" s="916">
        <v>0</v>
      </c>
      <c r="F85" s="916">
        <v>0</v>
      </c>
      <c r="G85" s="916">
        <v>0</v>
      </c>
      <c r="H85" s="916">
        <v>0</v>
      </c>
      <c r="I85" s="916">
        <v>0</v>
      </c>
      <c r="J85" s="916">
        <v>0</v>
      </c>
      <c r="K85" s="916">
        <v>0</v>
      </c>
      <c r="L85" s="916">
        <f t="shared" si="16"/>
        <v>0</v>
      </c>
    </row>
    <row r="86" spans="1:12" hidden="1" x14ac:dyDescent="0.2">
      <c r="A86" s="2">
        <v>430</v>
      </c>
      <c r="B86" s="3" t="s">
        <v>548</v>
      </c>
      <c r="C86" s="916">
        <v>0</v>
      </c>
      <c r="D86" s="916">
        <v>0</v>
      </c>
      <c r="E86" s="916">
        <v>0</v>
      </c>
      <c r="F86" s="916">
        <v>0</v>
      </c>
      <c r="G86" s="916">
        <v>0</v>
      </c>
      <c r="H86" s="916">
        <v>0</v>
      </c>
      <c r="I86" s="916">
        <v>0</v>
      </c>
      <c r="J86" s="916">
        <v>0</v>
      </c>
      <c r="K86" s="916">
        <v>0</v>
      </c>
      <c r="L86" s="916">
        <f t="shared" si="16"/>
        <v>0</v>
      </c>
    </row>
    <row r="87" spans="1:12" hidden="1" x14ac:dyDescent="0.2">
      <c r="A87" s="2">
        <v>440</v>
      </c>
      <c r="B87" t="s">
        <v>143</v>
      </c>
      <c r="C87" s="916">
        <v>0</v>
      </c>
      <c r="D87" s="916">
        <v>0</v>
      </c>
      <c r="E87" s="916">
        <v>0</v>
      </c>
      <c r="F87" s="916">
        <v>0</v>
      </c>
      <c r="G87" s="916">
        <v>0</v>
      </c>
      <c r="H87" s="916">
        <v>0</v>
      </c>
      <c r="I87" s="916">
        <v>0</v>
      </c>
      <c r="J87" s="916">
        <v>0</v>
      </c>
      <c r="K87" s="916">
        <v>0</v>
      </c>
      <c r="L87" s="916">
        <f t="shared" si="16"/>
        <v>0</v>
      </c>
    </row>
    <row r="88" spans="1:12" hidden="1" x14ac:dyDescent="0.2">
      <c r="A88" s="2">
        <v>500</v>
      </c>
      <c r="B88" t="s">
        <v>144</v>
      </c>
      <c r="C88" s="916">
        <v>0</v>
      </c>
      <c r="D88" s="916">
        <v>0</v>
      </c>
      <c r="E88" s="916">
        <v>0</v>
      </c>
      <c r="F88" s="916">
        <v>0</v>
      </c>
      <c r="G88" s="916">
        <v>0</v>
      </c>
      <c r="H88" s="916">
        <v>0</v>
      </c>
      <c r="I88" s="916">
        <v>0</v>
      </c>
      <c r="J88" s="916">
        <v>0</v>
      </c>
      <c r="K88" s="916">
        <v>0</v>
      </c>
      <c r="L88" s="916">
        <f t="shared" si="16"/>
        <v>0</v>
      </c>
    </row>
    <row r="89" spans="1:12" hidden="1" x14ac:dyDescent="0.2">
      <c r="A89" s="2">
        <v>600</v>
      </c>
      <c r="B89" t="s">
        <v>145</v>
      </c>
      <c r="C89" s="916">
        <v>0</v>
      </c>
      <c r="D89" s="916">
        <v>0</v>
      </c>
      <c r="E89" s="916">
        <v>0</v>
      </c>
      <c r="F89" s="916">
        <v>0</v>
      </c>
      <c r="G89" s="916">
        <v>0</v>
      </c>
      <c r="H89" s="916">
        <v>0</v>
      </c>
      <c r="I89" s="916">
        <v>0</v>
      </c>
      <c r="J89" s="916">
        <v>0</v>
      </c>
      <c r="K89" s="916">
        <v>0</v>
      </c>
      <c r="L89" s="916">
        <f t="shared" si="16"/>
        <v>0</v>
      </c>
    </row>
    <row r="90" spans="1:12" hidden="1" x14ac:dyDescent="0.2">
      <c r="A90" s="2">
        <v>800</v>
      </c>
      <c r="B90" t="s">
        <v>146</v>
      </c>
      <c r="C90" s="916">
        <v>0</v>
      </c>
      <c r="D90" s="916">
        <v>0</v>
      </c>
      <c r="E90" s="916">
        <v>0</v>
      </c>
      <c r="F90" s="916">
        <v>0</v>
      </c>
      <c r="G90" s="916">
        <v>0</v>
      </c>
      <c r="H90" s="916">
        <v>0</v>
      </c>
      <c r="I90" s="916">
        <v>0</v>
      </c>
      <c r="J90" s="916">
        <v>0</v>
      </c>
      <c r="K90" s="916">
        <v>0</v>
      </c>
      <c r="L90" s="916">
        <f t="shared" si="16"/>
        <v>0</v>
      </c>
    </row>
    <row r="91" spans="1:12" x14ac:dyDescent="0.2">
      <c r="A91" s="2">
        <v>910</v>
      </c>
      <c r="B91" t="s">
        <v>147</v>
      </c>
      <c r="C91" s="916">
        <v>334750</v>
      </c>
      <c r="D91" s="916">
        <v>0</v>
      </c>
      <c r="E91" s="916">
        <v>0</v>
      </c>
      <c r="F91" s="916">
        <v>0</v>
      </c>
      <c r="G91" s="916">
        <v>0</v>
      </c>
      <c r="H91" s="916">
        <v>0</v>
      </c>
      <c r="I91" s="916">
        <v>0</v>
      </c>
      <c r="J91" s="916">
        <v>0</v>
      </c>
      <c r="K91" s="916">
        <v>0</v>
      </c>
      <c r="L91" s="916">
        <f t="shared" si="16"/>
        <v>334750</v>
      </c>
    </row>
    <row r="92" spans="1:12" hidden="1" x14ac:dyDescent="0.2">
      <c r="A92" s="2">
        <v>920</v>
      </c>
      <c r="B92" t="s">
        <v>148</v>
      </c>
      <c r="C92" s="916">
        <v>0</v>
      </c>
      <c r="D92" s="916">
        <v>0</v>
      </c>
      <c r="E92" s="916">
        <v>0</v>
      </c>
      <c r="F92" s="916">
        <v>0</v>
      </c>
      <c r="G92" s="916">
        <v>0</v>
      </c>
      <c r="H92" s="916">
        <v>0</v>
      </c>
      <c r="I92" s="916">
        <v>0</v>
      </c>
      <c r="J92" s="916">
        <v>0</v>
      </c>
      <c r="K92" s="916">
        <v>0</v>
      </c>
      <c r="L92" s="916">
        <f t="shared" si="16"/>
        <v>0</v>
      </c>
    </row>
    <row r="93" spans="1:12" x14ac:dyDescent="0.2">
      <c r="C93" s="916"/>
      <c r="D93" s="916"/>
      <c r="E93" s="916"/>
      <c r="F93" s="916"/>
      <c r="G93" s="916"/>
      <c r="H93" s="916"/>
      <c r="I93" s="916"/>
      <c r="J93" s="916"/>
      <c r="K93" s="916"/>
      <c r="L93" s="916">
        <f t="shared" si="16"/>
        <v>0</v>
      </c>
    </row>
    <row r="94" spans="1:12" x14ac:dyDescent="0.2">
      <c r="A94" s="18" t="s">
        <v>149</v>
      </c>
      <c r="B94" s="2" t="s">
        <v>150</v>
      </c>
      <c r="C94" s="916"/>
      <c r="D94" s="916"/>
      <c r="E94" s="916"/>
      <c r="F94" s="916"/>
      <c r="G94" s="916"/>
      <c r="H94" s="916"/>
      <c r="I94" s="916"/>
      <c r="J94" s="916"/>
      <c r="K94" s="916"/>
      <c r="L94" s="916">
        <f t="shared" si="16"/>
        <v>0</v>
      </c>
    </row>
    <row r="95" spans="1:12" x14ac:dyDescent="0.2">
      <c r="A95" s="2">
        <v>2100</v>
      </c>
      <c r="B95" t="s">
        <v>151</v>
      </c>
      <c r="C95" s="916">
        <v>265930</v>
      </c>
      <c r="D95" s="916">
        <v>50000</v>
      </c>
      <c r="E95" s="916">
        <v>0</v>
      </c>
      <c r="F95" s="916">
        <v>0</v>
      </c>
      <c r="G95" s="916">
        <v>0</v>
      </c>
      <c r="H95" s="916">
        <v>0</v>
      </c>
      <c r="I95" s="916">
        <v>0</v>
      </c>
      <c r="J95" s="916">
        <v>0</v>
      </c>
      <c r="K95" s="916">
        <v>0</v>
      </c>
      <c r="L95" s="916">
        <f t="shared" si="16"/>
        <v>315930</v>
      </c>
    </row>
    <row r="96" spans="1:12" x14ac:dyDescent="0.2">
      <c r="A96" s="2">
        <v>2200</v>
      </c>
      <c r="B96" t="s">
        <v>152</v>
      </c>
      <c r="C96" s="916">
        <v>20750</v>
      </c>
      <c r="D96" s="916">
        <v>0</v>
      </c>
      <c r="E96" s="916">
        <v>0</v>
      </c>
      <c r="F96" s="916">
        <v>0</v>
      </c>
      <c r="G96" s="916">
        <v>0</v>
      </c>
      <c r="H96" s="916">
        <v>0</v>
      </c>
      <c r="I96" s="916">
        <v>0</v>
      </c>
      <c r="J96" s="916">
        <v>0</v>
      </c>
      <c r="K96" s="916">
        <v>0</v>
      </c>
      <c r="L96" s="916">
        <f t="shared" si="16"/>
        <v>20750</v>
      </c>
    </row>
    <row r="97" spans="1:12" x14ac:dyDescent="0.2">
      <c r="A97" s="2">
        <v>2300</v>
      </c>
      <c r="B97" t="s">
        <v>153</v>
      </c>
      <c r="C97" s="916">
        <v>1255350</v>
      </c>
      <c r="D97" s="916">
        <v>0</v>
      </c>
      <c r="E97" s="916">
        <v>0</v>
      </c>
      <c r="F97" s="916">
        <v>0</v>
      </c>
      <c r="G97" s="916">
        <v>0</v>
      </c>
      <c r="H97" s="916">
        <v>0</v>
      </c>
      <c r="I97" s="916">
        <v>0</v>
      </c>
      <c r="J97" s="916">
        <v>0</v>
      </c>
      <c r="K97" s="916">
        <v>0</v>
      </c>
      <c r="L97" s="916">
        <f t="shared" si="16"/>
        <v>1255350</v>
      </c>
    </row>
    <row r="98" spans="1:12" x14ac:dyDescent="0.2">
      <c r="A98" s="2">
        <v>2400</v>
      </c>
      <c r="B98" t="s">
        <v>154</v>
      </c>
      <c r="C98" s="916">
        <v>584838</v>
      </c>
      <c r="D98" s="916">
        <v>0</v>
      </c>
      <c r="E98" s="916">
        <v>0</v>
      </c>
      <c r="F98" s="916">
        <v>0</v>
      </c>
      <c r="G98" s="916">
        <v>0</v>
      </c>
      <c r="H98" s="916">
        <v>0</v>
      </c>
      <c r="I98" s="916">
        <v>0</v>
      </c>
      <c r="J98" s="916">
        <v>0</v>
      </c>
      <c r="K98" s="916">
        <v>0</v>
      </c>
      <c r="L98" s="916">
        <f t="shared" si="16"/>
        <v>584838</v>
      </c>
    </row>
    <row r="99" spans="1:12" x14ac:dyDescent="0.2">
      <c r="A99" s="2">
        <v>2500</v>
      </c>
      <c r="B99" t="s">
        <v>155</v>
      </c>
      <c r="C99" s="916">
        <v>423425</v>
      </c>
      <c r="D99" s="916">
        <v>0</v>
      </c>
      <c r="E99" s="916">
        <v>0</v>
      </c>
      <c r="F99" s="916">
        <v>0</v>
      </c>
      <c r="G99" s="916">
        <v>0</v>
      </c>
      <c r="H99" s="916">
        <v>0</v>
      </c>
      <c r="I99" s="916">
        <v>0</v>
      </c>
      <c r="J99" s="916">
        <v>0</v>
      </c>
      <c r="K99" s="916">
        <v>0</v>
      </c>
      <c r="L99" s="916">
        <f t="shared" si="16"/>
        <v>423425</v>
      </c>
    </row>
    <row r="100" spans="1:12" x14ac:dyDescent="0.2">
      <c r="A100" s="2">
        <v>2600</v>
      </c>
      <c r="B100" t="s">
        <v>156</v>
      </c>
      <c r="C100" s="916">
        <v>1499150</v>
      </c>
      <c r="D100" s="916">
        <v>0</v>
      </c>
      <c r="E100" s="916">
        <v>0</v>
      </c>
      <c r="F100" s="916">
        <v>0</v>
      </c>
      <c r="G100" s="916">
        <v>0</v>
      </c>
      <c r="H100" s="916">
        <v>295000</v>
      </c>
      <c r="I100" s="916">
        <v>0</v>
      </c>
      <c r="J100" s="916">
        <v>0</v>
      </c>
      <c r="K100" s="916">
        <v>0</v>
      </c>
      <c r="L100" s="916">
        <f t="shared" si="16"/>
        <v>1794150</v>
      </c>
    </row>
    <row r="101" spans="1:12" x14ac:dyDescent="0.2">
      <c r="A101" s="2">
        <v>2700</v>
      </c>
      <c r="B101" t="s">
        <v>157</v>
      </c>
      <c r="C101" s="916">
        <v>482800</v>
      </c>
      <c r="D101" s="916">
        <v>0</v>
      </c>
      <c r="E101" s="916">
        <v>0</v>
      </c>
      <c r="F101" s="916">
        <v>0</v>
      </c>
      <c r="G101" s="916">
        <v>0</v>
      </c>
      <c r="H101" s="916">
        <v>0</v>
      </c>
      <c r="I101" s="916">
        <v>0</v>
      </c>
      <c r="J101" s="916">
        <v>0</v>
      </c>
      <c r="K101" s="916">
        <v>0</v>
      </c>
      <c r="L101" s="916">
        <f t="shared" si="16"/>
        <v>482800</v>
      </c>
    </row>
    <row r="102" spans="1:12" x14ac:dyDescent="0.2">
      <c r="A102" s="2">
        <v>2900</v>
      </c>
      <c r="B102" t="s">
        <v>158</v>
      </c>
      <c r="C102" s="916">
        <v>25000</v>
      </c>
      <c r="D102" s="916">
        <v>0</v>
      </c>
      <c r="E102" s="916">
        <v>0</v>
      </c>
      <c r="F102" s="916">
        <v>0</v>
      </c>
      <c r="G102" s="916">
        <v>0</v>
      </c>
      <c r="H102" s="916">
        <v>0</v>
      </c>
      <c r="I102" s="916">
        <v>0</v>
      </c>
      <c r="J102" s="916">
        <v>0</v>
      </c>
      <c r="K102" s="916">
        <v>0</v>
      </c>
      <c r="L102" s="916">
        <f t="shared" si="16"/>
        <v>25000</v>
      </c>
    </row>
    <row r="103" spans="1:12" hidden="1" x14ac:dyDescent="0.2">
      <c r="A103" s="2">
        <v>3000</v>
      </c>
      <c r="B103" t="s">
        <v>159</v>
      </c>
      <c r="C103" s="916">
        <v>0</v>
      </c>
      <c r="D103" s="916">
        <v>0</v>
      </c>
      <c r="E103" s="916">
        <v>0</v>
      </c>
      <c r="F103" s="916">
        <v>0</v>
      </c>
      <c r="G103" s="916">
        <v>0</v>
      </c>
      <c r="H103" s="916">
        <v>0</v>
      </c>
      <c r="I103" s="916">
        <v>0</v>
      </c>
      <c r="J103" s="916">
        <v>0</v>
      </c>
      <c r="K103" s="916">
        <v>0</v>
      </c>
      <c r="L103" s="916">
        <f t="shared" si="16"/>
        <v>0</v>
      </c>
    </row>
    <row r="104" spans="1:12" x14ac:dyDescent="0.2">
      <c r="A104" s="2">
        <v>3100</v>
      </c>
      <c r="B104" t="s">
        <v>160</v>
      </c>
      <c r="C104" s="916">
        <v>451600</v>
      </c>
      <c r="D104" s="916">
        <v>0</v>
      </c>
      <c r="E104" s="916">
        <v>0</v>
      </c>
      <c r="F104" s="916">
        <v>0</v>
      </c>
      <c r="G104" s="916">
        <v>0</v>
      </c>
      <c r="H104" s="916">
        <v>0</v>
      </c>
      <c r="I104" s="916">
        <v>0</v>
      </c>
      <c r="J104" s="916">
        <v>0</v>
      </c>
      <c r="K104" s="916">
        <v>0</v>
      </c>
      <c r="L104" s="916">
        <f t="shared" si="16"/>
        <v>451600</v>
      </c>
    </row>
    <row r="105" spans="1:12" hidden="1" x14ac:dyDescent="0.2">
      <c r="A105" s="2">
        <v>3200</v>
      </c>
      <c r="B105" t="s">
        <v>161</v>
      </c>
      <c r="C105" s="916">
        <v>0</v>
      </c>
      <c r="D105" s="916">
        <v>0</v>
      </c>
      <c r="E105" s="916">
        <v>0</v>
      </c>
      <c r="F105" s="916">
        <v>0</v>
      </c>
      <c r="G105" s="916">
        <v>0</v>
      </c>
      <c r="H105" s="916">
        <v>0</v>
      </c>
      <c r="I105" s="916">
        <v>0</v>
      </c>
      <c r="J105" s="916">
        <v>0</v>
      </c>
      <c r="K105" s="916">
        <v>0</v>
      </c>
      <c r="L105" s="916">
        <f t="shared" si="16"/>
        <v>0</v>
      </c>
    </row>
    <row r="106" spans="1:12" hidden="1" x14ac:dyDescent="0.2">
      <c r="A106" s="2">
        <v>3300</v>
      </c>
      <c r="B106" t="s">
        <v>162</v>
      </c>
      <c r="C106" s="916">
        <v>0</v>
      </c>
      <c r="D106" s="916">
        <v>0</v>
      </c>
      <c r="E106" s="916">
        <v>0</v>
      </c>
      <c r="F106" s="916">
        <v>0</v>
      </c>
      <c r="G106" s="916">
        <v>0</v>
      </c>
      <c r="H106" s="916">
        <v>0</v>
      </c>
      <c r="I106" s="916">
        <v>0</v>
      </c>
      <c r="J106" s="916">
        <v>0</v>
      </c>
      <c r="K106" s="916">
        <v>0</v>
      </c>
      <c r="L106" s="916">
        <f t="shared" si="16"/>
        <v>0</v>
      </c>
    </row>
    <row r="107" spans="1:12" hidden="1" x14ac:dyDescent="0.2">
      <c r="A107" s="2">
        <v>4000</v>
      </c>
      <c r="B107" t="s">
        <v>164</v>
      </c>
      <c r="C107" s="916">
        <v>0</v>
      </c>
      <c r="D107" s="916">
        <v>0</v>
      </c>
      <c r="E107" s="916">
        <v>0</v>
      </c>
      <c r="F107" s="916">
        <v>0</v>
      </c>
      <c r="G107" s="916">
        <v>0</v>
      </c>
      <c r="H107" s="916">
        <v>0</v>
      </c>
      <c r="I107" s="916">
        <v>0</v>
      </c>
      <c r="J107" s="916">
        <v>0</v>
      </c>
      <c r="K107" s="916">
        <v>0</v>
      </c>
      <c r="L107" s="916">
        <f t="shared" si="16"/>
        <v>0</v>
      </c>
    </row>
    <row r="108" spans="1:12" hidden="1" x14ac:dyDescent="0.2">
      <c r="A108" s="2">
        <v>4100</v>
      </c>
      <c r="B108" t="s">
        <v>163</v>
      </c>
      <c r="C108" s="916">
        <v>0</v>
      </c>
      <c r="D108" s="916">
        <v>0</v>
      </c>
      <c r="E108" s="916">
        <v>0</v>
      </c>
      <c r="F108" s="916">
        <v>0</v>
      </c>
      <c r="G108" s="916">
        <v>0</v>
      </c>
      <c r="H108" s="916">
        <v>0</v>
      </c>
      <c r="I108" s="916">
        <v>0</v>
      </c>
      <c r="J108" s="916">
        <v>0</v>
      </c>
      <c r="K108" s="916">
        <v>0</v>
      </c>
      <c r="L108" s="916">
        <f t="shared" si="16"/>
        <v>0</v>
      </c>
    </row>
    <row r="109" spans="1:12" hidden="1" x14ac:dyDescent="0.2">
      <c r="A109" s="2">
        <v>4200</v>
      </c>
      <c r="B109" t="s">
        <v>165</v>
      </c>
      <c r="C109" s="916">
        <v>0</v>
      </c>
      <c r="D109" s="916">
        <v>0</v>
      </c>
      <c r="E109" s="916">
        <v>0</v>
      </c>
      <c r="F109" s="916">
        <v>0</v>
      </c>
      <c r="G109" s="916">
        <v>0</v>
      </c>
      <c r="H109" s="916">
        <v>0</v>
      </c>
      <c r="I109" s="916">
        <v>0</v>
      </c>
      <c r="J109" s="916">
        <v>0</v>
      </c>
      <c r="K109" s="916">
        <v>0</v>
      </c>
      <c r="L109" s="916">
        <f t="shared" si="16"/>
        <v>0</v>
      </c>
    </row>
    <row r="110" spans="1:12" hidden="1" x14ac:dyDescent="0.2">
      <c r="A110" s="2">
        <v>4300</v>
      </c>
      <c r="B110" t="s">
        <v>166</v>
      </c>
      <c r="C110" s="916">
        <v>0</v>
      </c>
      <c r="D110" s="916">
        <v>0</v>
      </c>
      <c r="E110" s="916">
        <v>0</v>
      </c>
      <c r="F110" s="916">
        <v>0</v>
      </c>
      <c r="G110" s="916">
        <v>0</v>
      </c>
      <c r="H110" s="916">
        <v>0</v>
      </c>
      <c r="I110" s="916">
        <v>0</v>
      </c>
      <c r="J110" s="916">
        <v>0</v>
      </c>
      <c r="K110" s="916">
        <v>0</v>
      </c>
      <c r="L110" s="916">
        <f t="shared" si="16"/>
        <v>0</v>
      </c>
    </row>
    <row r="111" spans="1:12" hidden="1" x14ac:dyDescent="0.2">
      <c r="A111" s="2">
        <v>4400</v>
      </c>
      <c r="B111" t="s">
        <v>167</v>
      </c>
      <c r="C111" s="916">
        <v>0</v>
      </c>
      <c r="D111" s="916">
        <v>0</v>
      </c>
      <c r="E111" s="916">
        <v>0</v>
      </c>
      <c r="F111" s="916">
        <v>0</v>
      </c>
      <c r="G111" s="916">
        <v>0</v>
      </c>
      <c r="H111" s="916">
        <v>0</v>
      </c>
      <c r="I111" s="916">
        <v>0</v>
      </c>
      <c r="J111" s="916">
        <v>0</v>
      </c>
      <c r="K111" s="916">
        <v>0</v>
      </c>
      <c r="L111" s="916">
        <f t="shared" si="16"/>
        <v>0</v>
      </c>
    </row>
    <row r="112" spans="1:12" x14ac:dyDescent="0.2">
      <c r="A112" s="2">
        <v>4500</v>
      </c>
      <c r="B112" t="s">
        <v>168</v>
      </c>
      <c r="C112" s="916">
        <v>0</v>
      </c>
      <c r="D112" s="916">
        <v>0</v>
      </c>
      <c r="E112" s="916">
        <v>0</v>
      </c>
      <c r="F112" s="916">
        <v>0</v>
      </c>
      <c r="G112" s="916">
        <v>5245000</v>
      </c>
      <c r="H112" s="916">
        <v>0</v>
      </c>
      <c r="I112" s="916">
        <v>0</v>
      </c>
      <c r="J112" s="916">
        <v>0</v>
      </c>
      <c r="K112" s="916">
        <v>0</v>
      </c>
      <c r="L112" s="916">
        <f t="shared" si="16"/>
        <v>5245000</v>
      </c>
    </row>
    <row r="113" spans="1:12" hidden="1" x14ac:dyDescent="0.2">
      <c r="A113" s="2">
        <v>4600</v>
      </c>
      <c r="B113" t="s">
        <v>169</v>
      </c>
      <c r="C113" s="916">
        <v>0</v>
      </c>
      <c r="D113" s="916">
        <v>0</v>
      </c>
      <c r="E113" s="916">
        <v>0</v>
      </c>
      <c r="F113" s="916">
        <v>0</v>
      </c>
      <c r="G113" s="916">
        <v>0</v>
      </c>
      <c r="H113" s="916">
        <v>0</v>
      </c>
      <c r="I113" s="916">
        <v>0</v>
      </c>
      <c r="J113" s="916">
        <v>0</v>
      </c>
      <c r="K113" s="916">
        <v>0</v>
      </c>
      <c r="L113" s="916">
        <f t="shared" si="16"/>
        <v>0</v>
      </c>
    </row>
    <row r="114" spans="1:12" hidden="1" x14ac:dyDescent="0.2">
      <c r="A114" s="2">
        <v>4700</v>
      </c>
      <c r="B114" t="s">
        <v>170</v>
      </c>
      <c r="C114" s="916">
        <v>0</v>
      </c>
      <c r="D114" s="916">
        <v>0</v>
      </c>
      <c r="E114" s="916">
        <v>0</v>
      </c>
      <c r="F114" s="916">
        <v>0</v>
      </c>
      <c r="G114" s="916">
        <v>0</v>
      </c>
      <c r="H114" s="916">
        <v>0</v>
      </c>
      <c r="I114" s="916">
        <v>0</v>
      </c>
      <c r="J114" s="916">
        <v>0</v>
      </c>
      <c r="K114" s="916">
        <v>0</v>
      </c>
      <c r="L114" s="916">
        <f t="shared" si="16"/>
        <v>0</v>
      </c>
    </row>
    <row r="115" spans="1:12" hidden="1" x14ac:dyDescent="0.2">
      <c r="A115" s="2">
        <v>4900</v>
      </c>
      <c r="B115" t="s">
        <v>171</v>
      </c>
      <c r="C115" s="916">
        <v>0</v>
      </c>
      <c r="D115" s="916">
        <v>0</v>
      </c>
      <c r="E115" s="916">
        <v>0</v>
      </c>
      <c r="F115" s="916">
        <v>0</v>
      </c>
      <c r="G115" s="916">
        <v>0</v>
      </c>
      <c r="H115" s="916">
        <v>0</v>
      </c>
      <c r="I115" s="916">
        <v>0</v>
      </c>
      <c r="J115" s="916">
        <v>0</v>
      </c>
      <c r="K115" s="916">
        <v>0</v>
      </c>
      <c r="L115" s="916">
        <f t="shared" si="16"/>
        <v>0</v>
      </c>
    </row>
    <row r="116" spans="1:12" hidden="1" x14ac:dyDescent="0.2">
      <c r="A116" s="2">
        <v>5000</v>
      </c>
      <c r="B116" t="s">
        <v>172</v>
      </c>
      <c r="C116" s="916">
        <v>0</v>
      </c>
      <c r="D116" s="916">
        <v>0</v>
      </c>
      <c r="E116" s="916">
        <v>0</v>
      </c>
      <c r="F116" s="916">
        <v>0</v>
      </c>
      <c r="G116" s="916">
        <v>0</v>
      </c>
      <c r="H116" s="916">
        <v>0</v>
      </c>
      <c r="I116" s="916">
        <v>0</v>
      </c>
      <c r="J116" s="916">
        <v>0</v>
      </c>
      <c r="K116" s="916">
        <v>0</v>
      </c>
      <c r="L116" s="916">
        <f t="shared" si="16"/>
        <v>0</v>
      </c>
    </row>
    <row r="117" spans="1:12" hidden="1" x14ac:dyDescent="0.2">
      <c r="A117" s="2">
        <v>5000</v>
      </c>
      <c r="B117" t="s">
        <v>173</v>
      </c>
      <c r="C117" s="916">
        <v>0</v>
      </c>
      <c r="D117" s="916">
        <v>0</v>
      </c>
      <c r="E117" s="916">
        <v>0</v>
      </c>
      <c r="F117" s="916">
        <v>0</v>
      </c>
      <c r="G117" s="916">
        <v>0</v>
      </c>
      <c r="H117" s="916">
        <v>0</v>
      </c>
      <c r="I117" s="916">
        <v>0</v>
      </c>
      <c r="J117" s="916">
        <v>0</v>
      </c>
      <c r="K117" s="916">
        <v>0</v>
      </c>
      <c r="L117" s="916">
        <f t="shared" si="16"/>
        <v>0</v>
      </c>
    </row>
    <row r="118" spans="1:12" hidden="1" x14ac:dyDescent="0.2">
      <c r="A118" s="2">
        <v>6100</v>
      </c>
      <c r="B118" t="s">
        <v>174</v>
      </c>
      <c r="C118" s="916">
        <v>0</v>
      </c>
      <c r="D118" s="916">
        <v>0</v>
      </c>
      <c r="E118" s="916">
        <v>0</v>
      </c>
      <c r="F118" s="916">
        <v>0</v>
      </c>
      <c r="G118" s="916">
        <v>0</v>
      </c>
      <c r="H118" s="916">
        <v>0</v>
      </c>
      <c r="I118" s="916">
        <v>0</v>
      </c>
      <c r="J118" s="916">
        <v>0</v>
      </c>
      <c r="K118" s="916">
        <v>0</v>
      </c>
      <c r="L118" s="916">
        <f t="shared" si="16"/>
        <v>0</v>
      </c>
    </row>
    <row r="119" spans="1:12" x14ac:dyDescent="0.2">
      <c r="A119" s="2">
        <v>6200</v>
      </c>
      <c r="B119" t="s">
        <v>175</v>
      </c>
      <c r="C119" s="916">
        <v>5200000</v>
      </c>
      <c r="D119" s="916">
        <v>0</v>
      </c>
      <c r="E119" s="916">
        <v>0</v>
      </c>
      <c r="F119" s="916">
        <v>0</v>
      </c>
      <c r="G119" s="916">
        <v>0</v>
      </c>
      <c r="H119" s="916">
        <v>0</v>
      </c>
      <c r="I119" s="916">
        <v>0</v>
      </c>
      <c r="J119" s="916">
        <v>0</v>
      </c>
      <c r="K119" s="916">
        <v>0</v>
      </c>
      <c r="L119" s="916">
        <f t="shared" si="16"/>
        <v>5200000</v>
      </c>
    </row>
    <row r="120" spans="1:12" x14ac:dyDescent="0.2">
      <c r="A120" s="2">
        <v>6300</v>
      </c>
      <c r="B120" t="s">
        <v>176</v>
      </c>
      <c r="C120" s="916">
        <v>150000</v>
      </c>
      <c r="D120" s="916">
        <v>0</v>
      </c>
      <c r="E120" s="916">
        <v>0</v>
      </c>
      <c r="F120" s="916">
        <v>0</v>
      </c>
      <c r="G120" s="916">
        <v>0</v>
      </c>
      <c r="H120" s="916">
        <v>0</v>
      </c>
      <c r="I120" s="916">
        <v>0</v>
      </c>
      <c r="J120" s="916">
        <v>0</v>
      </c>
      <c r="K120" s="916">
        <v>0</v>
      </c>
      <c r="L120" s="916">
        <f t="shared" si="16"/>
        <v>150000</v>
      </c>
    </row>
    <row r="121" spans="1:12" x14ac:dyDescent="0.2">
      <c r="A121" s="2">
        <v>8000</v>
      </c>
      <c r="B121" t="s">
        <v>177</v>
      </c>
      <c r="C121" s="916">
        <v>24872853</v>
      </c>
      <c r="D121" s="916">
        <v>0</v>
      </c>
      <c r="E121" s="916">
        <v>61508</v>
      </c>
      <c r="F121" s="916">
        <v>0</v>
      </c>
      <c r="G121" s="916">
        <v>1899774</v>
      </c>
      <c r="H121" s="916">
        <v>294683</v>
      </c>
      <c r="I121" s="916">
        <v>31000000</v>
      </c>
      <c r="J121" s="916">
        <v>1000000</v>
      </c>
      <c r="K121" s="916">
        <v>0</v>
      </c>
      <c r="L121" s="916">
        <f t="shared" si="16"/>
        <v>59128818</v>
      </c>
    </row>
    <row r="122" spans="1:12" x14ac:dyDescent="0.2">
      <c r="C122" s="916"/>
      <c r="D122" s="916"/>
      <c r="E122" s="916"/>
      <c r="F122" s="916"/>
      <c r="G122" s="916"/>
      <c r="H122" s="916"/>
      <c r="I122" s="916"/>
      <c r="J122" s="916"/>
      <c r="K122" s="916"/>
      <c r="L122" s="916"/>
    </row>
    <row r="123" spans="1:12" s="2" customFormat="1" x14ac:dyDescent="0.2">
      <c r="A123" s="53"/>
      <c r="B123" s="2" t="s">
        <v>308</v>
      </c>
      <c r="C123" s="931"/>
      <c r="D123" s="931"/>
      <c r="E123" s="931"/>
      <c r="F123" s="931"/>
      <c r="G123" s="931"/>
      <c r="H123" s="931"/>
      <c r="I123" s="931"/>
      <c r="J123" s="931"/>
      <c r="K123" s="931"/>
      <c r="L123" s="931"/>
    </row>
    <row r="124" spans="1:12" hidden="1" x14ac:dyDescent="0.2">
      <c r="B124" t="s">
        <v>179</v>
      </c>
      <c r="C124" s="916">
        <v>0</v>
      </c>
      <c r="D124" s="916">
        <v>0</v>
      </c>
      <c r="E124" s="916">
        <v>0</v>
      </c>
      <c r="F124" s="916">
        <v>0</v>
      </c>
      <c r="G124" s="916">
        <v>0</v>
      </c>
      <c r="H124" s="916">
        <v>0</v>
      </c>
      <c r="I124" s="916">
        <v>0</v>
      </c>
      <c r="J124" s="916">
        <v>0</v>
      </c>
      <c r="K124" s="916">
        <v>0</v>
      </c>
      <c r="L124" s="916">
        <f t="shared" ref="L124:L187" si="17">SUM(C124:K124)</f>
        <v>0</v>
      </c>
    </row>
    <row r="125" spans="1:12" hidden="1" x14ac:dyDescent="0.2">
      <c r="B125" t="s">
        <v>145</v>
      </c>
      <c r="C125" s="916">
        <v>0</v>
      </c>
      <c r="D125" s="916">
        <v>0</v>
      </c>
      <c r="E125" s="916">
        <v>0</v>
      </c>
      <c r="F125" s="916">
        <v>0</v>
      </c>
      <c r="G125" s="916">
        <v>0</v>
      </c>
      <c r="H125" s="916">
        <v>0</v>
      </c>
      <c r="I125" s="916">
        <v>0</v>
      </c>
      <c r="J125" s="916">
        <v>0</v>
      </c>
      <c r="K125" s="916">
        <v>0</v>
      </c>
      <c r="L125" s="916">
        <f t="shared" si="17"/>
        <v>0</v>
      </c>
    </row>
    <row r="126" spans="1:12" hidden="1" x14ac:dyDescent="0.2">
      <c r="B126" t="s">
        <v>180</v>
      </c>
      <c r="C126" s="916">
        <v>0</v>
      </c>
      <c r="D126" s="916">
        <v>0</v>
      </c>
      <c r="E126" s="916">
        <v>0</v>
      </c>
      <c r="F126" s="916">
        <v>0</v>
      </c>
      <c r="G126" s="916">
        <v>0</v>
      </c>
      <c r="H126" s="916">
        <v>0</v>
      </c>
      <c r="I126" s="916">
        <v>0</v>
      </c>
      <c r="J126" s="916">
        <v>0</v>
      </c>
      <c r="K126" s="916">
        <v>0</v>
      </c>
      <c r="L126" s="916">
        <f t="shared" si="17"/>
        <v>0</v>
      </c>
    </row>
    <row r="127" spans="1:12" hidden="1" x14ac:dyDescent="0.2">
      <c r="B127" t="s">
        <v>181</v>
      </c>
      <c r="C127" s="916">
        <v>0</v>
      </c>
      <c r="D127" s="916">
        <v>0</v>
      </c>
      <c r="E127" s="916">
        <v>0</v>
      </c>
      <c r="F127" s="916">
        <v>0</v>
      </c>
      <c r="G127" s="916">
        <v>0</v>
      </c>
      <c r="H127" s="916">
        <v>0</v>
      </c>
      <c r="I127" s="916">
        <v>0</v>
      </c>
      <c r="J127" s="916">
        <v>0</v>
      </c>
      <c r="K127" s="916">
        <v>0</v>
      </c>
      <c r="L127" s="916">
        <f t="shared" si="17"/>
        <v>0</v>
      </c>
    </row>
    <row r="128" spans="1:12" hidden="1" x14ac:dyDescent="0.2">
      <c r="B128" t="s">
        <v>182</v>
      </c>
      <c r="C128" s="916">
        <v>0</v>
      </c>
      <c r="D128" s="916">
        <v>0</v>
      </c>
      <c r="E128" s="916">
        <v>0</v>
      </c>
      <c r="F128" s="916">
        <v>0</v>
      </c>
      <c r="G128" s="916">
        <v>0</v>
      </c>
      <c r="H128" s="916">
        <v>0</v>
      </c>
      <c r="I128" s="916">
        <v>0</v>
      </c>
      <c r="J128" s="916">
        <v>0</v>
      </c>
      <c r="K128" s="916">
        <v>0</v>
      </c>
      <c r="L128" s="916">
        <f t="shared" si="17"/>
        <v>0</v>
      </c>
    </row>
    <row r="129" spans="2:12" hidden="1" x14ac:dyDescent="0.2">
      <c r="B129" t="s">
        <v>183</v>
      </c>
      <c r="C129" s="916">
        <v>0</v>
      </c>
      <c r="D129" s="916">
        <v>0</v>
      </c>
      <c r="E129" s="916">
        <v>0</v>
      </c>
      <c r="F129" s="916">
        <v>0</v>
      </c>
      <c r="G129" s="916">
        <v>0</v>
      </c>
      <c r="H129" s="916">
        <v>0</v>
      </c>
      <c r="I129" s="916">
        <v>0</v>
      </c>
      <c r="J129" s="916">
        <v>0</v>
      </c>
      <c r="K129" s="916">
        <v>0</v>
      </c>
      <c r="L129" s="916">
        <f t="shared" si="17"/>
        <v>0</v>
      </c>
    </row>
    <row r="130" spans="2:12" hidden="1" x14ac:dyDescent="0.2">
      <c r="B130" t="s">
        <v>184</v>
      </c>
      <c r="C130" s="916">
        <v>0</v>
      </c>
      <c r="D130" s="916">
        <v>0</v>
      </c>
      <c r="E130" s="916">
        <v>0</v>
      </c>
      <c r="F130" s="916">
        <v>0</v>
      </c>
      <c r="G130" s="916">
        <v>0</v>
      </c>
      <c r="H130" s="916">
        <v>0</v>
      </c>
      <c r="I130" s="916">
        <v>0</v>
      </c>
      <c r="J130" s="916">
        <v>0</v>
      </c>
      <c r="K130" s="916">
        <v>0</v>
      </c>
      <c r="L130" s="916">
        <f t="shared" si="17"/>
        <v>0</v>
      </c>
    </row>
    <row r="131" spans="2:12" hidden="1" x14ac:dyDescent="0.2">
      <c r="B131" t="s">
        <v>185</v>
      </c>
      <c r="C131" s="916">
        <v>0</v>
      </c>
      <c r="D131" s="916">
        <v>0</v>
      </c>
      <c r="E131" s="916">
        <v>0</v>
      </c>
      <c r="F131" s="916">
        <v>0</v>
      </c>
      <c r="G131" s="916">
        <v>0</v>
      </c>
      <c r="H131" s="916">
        <v>0</v>
      </c>
      <c r="I131" s="916">
        <v>0</v>
      </c>
      <c r="J131" s="916">
        <v>0</v>
      </c>
      <c r="K131" s="916">
        <v>0</v>
      </c>
      <c r="L131" s="916">
        <f t="shared" si="17"/>
        <v>0</v>
      </c>
    </row>
    <row r="132" spans="2:12" hidden="1" x14ac:dyDescent="0.2">
      <c r="B132" t="s">
        <v>186</v>
      </c>
      <c r="C132" s="916">
        <v>0</v>
      </c>
      <c r="D132" s="916">
        <v>0</v>
      </c>
      <c r="E132" s="916">
        <v>0</v>
      </c>
      <c r="F132" s="916">
        <v>0</v>
      </c>
      <c r="G132" s="916">
        <v>0</v>
      </c>
      <c r="H132" s="916">
        <v>0</v>
      </c>
      <c r="I132" s="916">
        <v>0</v>
      </c>
      <c r="J132" s="916">
        <v>0</v>
      </c>
      <c r="K132" s="916">
        <v>0</v>
      </c>
      <c r="L132" s="916">
        <f t="shared" si="17"/>
        <v>0</v>
      </c>
    </row>
    <row r="133" spans="2:12" hidden="1" x14ac:dyDescent="0.2">
      <c r="B133" t="s">
        <v>187</v>
      </c>
      <c r="C133" s="916">
        <v>0</v>
      </c>
      <c r="D133" s="916">
        <v>0</v>
      </c>
      <c r="E133" s="916">
        <v>0</v>
      </c>
      <c r="F133" s="916">
        <v>0</v>
      </c>
      <c r="G133" s="916">
        <v>0</v>
      </c>
      <c r="H133" s="916">
        <v>0</v>
      </c>
      <c r="I133" s="916">
        <v>0</v>
      </c>
      <c r="J133" s="916">
        <v>0</v>
      </c>
      <c r="K133" s="916">
        <v>0</v>
      </c>
      <c r="L133" s="916">
        <f t="shared" si="17"/>
        <v>0</v>
      </c>
    </row>
    <row r="134" spans="2:12" x14ac:dyDescent="0.2">
      <c r="B134" t="s">
        <v>188</v>
      </c>
      <c r="C134" s="916">
        <v>0</v>
      </c>
      <c r="D134" s="916">
        <v>0</v>
      </c>
      <c r="E134" s="916">
        <v>0</v>
      </c>
      <c r="F134" s="916">
        <v>0</v>
      </c>
      <c r="G134" s="916">
        <v>0</v>
      </c>
      <c r="H134" s="916">
        <v>0</v>
      </c>
      <c r="I134" s="916">
        <v>0</v>
      </c>
      <c r="J134" s="916">
        <v>0</v>
      </c>
      <c r="K134" s="916">
        <v>-5000000</v>
      </c>
      <c r="L134" s="916">
        <f t="shared" si="17"/>
        <v>-5000000</v>
      </c>
    </row>
    <row r="135" spans="2:12" hidden="1" x14ac:dyDescent="0.2">
      <c r="B135" t="s">
        <v>189</v>
      </c>
      <c r="C135" s="916">
        <v>0</v>
      </c>
      <c r="D135" s="916">
        <v>0</v>
      </c>
      <c r="E135" s="916">
        <v>0</v>
      </c>
      <c r="F135" s="916">
        <v>0</v>
      </c>
      <c r="G135" s="916">
        <v>0</v>
      </c>
      <c r="H135" s="916">
        <v>0</v>
      </c>
      <c r="I135" s="916">
        <v>0</v>
      </c>
      <c r="J135" s="916">
        <v>0</v>
      </c>
      <c r="K135" s="916">
        <v>0</v>
      </c>
      <c r="L135" s="916">
        <f t="shared" si="17"/>
        <v>0</v>
      </c>
    </row>
    <row r="136" spans="2:12" hidden="1" x14ac:dyDescent="0.2">
      <c r="B136" t="s">
        <v>190</v>
      </c>
      <c r="C136" s="916">
        <v>0</v>
      </c>
      <c r="D136" s="916">
        <v>0</v>
      </c>
      <c r="E136" s="916">
        <v>0</v>
      </c>
      <c r="F136" s="916">
        <v>0</v>
      </c>
      <c r="G136" s="916">
        <v>0</v>
      </c>
      <c r="H136" s="916">
        <v>0</v>
      </c>
      <c r="I136" s="916">
        <v>0</v>
      </c>
      <c r="J136" s="916">
        <v>0</v>
      </c>
      <c r="K136" s="916">
        <v>0</v>
      </c>
      <c r="L136" s="916">
        <f t="shared" si="17"/>
        <v>0</v>
      </c>
    </row>
    <row r="137" spans="2:12" hidden="1" x14ac:dyDescent="0.2">
      <c r="B137" t="s">
        <v>191</v>
      </c>
      <c r="C137" s="916">
        <v>0</v>
      </c>
      <c r="D137" s="916">
        <v>0</v>
      </c>
      <c r="E137" s="916">
        <v>0</v>
      </c>
      <c r="F137" s="916">
        <v>0</v>
      </c>
      <c r="G137" s="916">
        <v>0</v>
      </c>
      <c r="H137" s="916">
        <v>0</v>
      </c>
      <c r="I137" s="916">
        <v>0</v>
      </c>
      <c r="J137" s="916">
        <v>0</v>
      </c>
      <c r="K137" s="916">
        <v>0</v>
      </c>
      <c r="L137" s="916">
        <f t="shared" si="17"/>
        <v>0</v>
      </c>
    </row>
    <row r="138" spans="2:12" hidden="1" x14ac:dyDescent="0.2">
      <c r="B138" t="s">
        <v>192</v>
      </c>
      <c r="C138" s="916">
        <v>0</v>
      </c>
      <c r="D138" s="916">
        <v>0</v>
      </c>
      <c r="E138" s="916">
        <v>0</v>
      </c>
      <c r="F138" s="916">
        <v>0</v>
      </c>
      <c r="G138" s="916">
        <v>0</v>
      </c>
      <c r="H138" s="916">
        <v>0</v>
      </c>
      <c r="I138" s="916">
        <v>0</v>
      </c>
      <c r="J138" s="916">
        <v>0</v>
      </c>
      <c r="K138" s="916">
        <v>0</v>
      </c>
      <c r="L138" s="916">
        <f t="shared" si="17"/>
        <v>0</v>
      </c>
    </row>
    <row r="139" spans="2:12" hidden="1" x14ac:dyDescent="0.2">
      <c r="B139" t="s">
        <v>193</v>
      </c>
      <c r="C139" s="916">
        <v>0</v>
      </c>
      <c r="D139" s="916">
        <v>0</v>
      </c>
      <c r="E139" s="916">
        <v>0</v>
      </c>
      <c r="F139" s="916">
        <v>0</v>
      </c>
      <c r="G139" s="916">
        <v>0</v>
      </c>
      <c r="H139" s="916">
        <v>0</v>
      </c>
      <c r="I139" s="916">
        <v>0</v>
      </c>
      <c r="J139" s="916">
        <v>0</v>
      </c>
      <c r="K139" s="916">
        <v>0</v>
      </c>
      <c r="L139" s="916">
        <f t="shared" si="17"/>
        <v>0</v>
      </c>
    </row>
    <row r="140" spans="2:12" hidden="1" x14ac:dyDescent="0.2">
      <c r="B140" t="s">
        <v>194</v>
      </c>
      <c r="C140" s="916">
        <v>0</v>
      </c>
      <c r="D140" s="916">
        <v>0</v>
      </c>
      <c r="E140" s="916">
        <v>0</v>
      </c>
      <c r="F140" s="916">
        <v>0</v>
      </c>
      <c r="G140" s="916">
        <v>0</v>
      </c>
      <c r="H140" s="916">
        <v>0</v>
      </c>
      <c r="I140" s="916">
        <v>0</v>
      </c>
      <c r="J140" s="916">
        <v>0</v>
      </c>
      <c r="K140" s="916">
        <v>0</v>
      </c>
      <c r="L140" s="916">
        <f t="shared" si="17"/>
        <v>0</v>
      </c>
    </row>
    <row r="141" spans="2:12" hidden="1" x14ac:dyDescent="0.2">
      <c r="B141" t="s">
        <v>195</v>
      </c>
      <c r="C141" s="916">
        <v>0</v>
      </c>
      <c r="D141" s="916">
        <v>0</v>
      </c>
      <c r="E141" s="916">
        <v>0</v>
      </c>
      <c r="F141" s="916">
        <v>0</v>
      </c>
      <c r="G141" s="916">
        <v>0</v>
      </c>
      <c r="H141" s="916">
        <v>0</v>
      </c>
      <c r="I141" s="916">
        <v>0</v>
      </c>
      <c r="J141" s="916">
        <v>0</v>
      </c>
      <c r="K141" s="916">
        <v>0</v>
      </c>
      <c r="L141" s="916">
        <f t="shared" si="17"/>
        <v>0</v>
      </c>
    </row>
    <row r="142" spans="2:12" hidden="1" x14ac:dyDescent="0.2">
      <c r="B142" t="s">
        <v>196</v>
      </c>
      <c r="C142" s="916">
        <v>0</v>
      </c>
      <c r="D142" s="916">
        <v>0</v>
      </c>
      <c r="E142" s="916">
        <v>0</v>
      </c>
      <c r="F142" s="916">
        <v>0</v>
      </c>
      <c r="G142" s="916">
        <v>0</v>
      </c>
      <c r="H142" s="916">
        <v>0</v>
      </c>
      <c r="I142" s="916">
        <v>0</v>
      </c>
      <c r="J142" s="916">
        <v>0</v>
      </c>
      <c r="K142" s="916">
        <v>0</v>
      </c>
      <c r="L142" s="916">
        <f t="shared" si="17"/>
        <v>0</v>
      </c>
    </row>
    <row r="143" spans="2:12" hidden="1" x14ac:dyDescent="0.2">
      <c r="B143" t="s">
        <v>197</v>
      </c>
      <c r="C143" s="916">
        <v>0</v>
      </c>
      <c r="D143" s="916">
        <v>0</v>
      </c>
      <c r="E143" s="916">
        <v>0</v>
      </c>
      <c r="F143" s="916">
        <v>0</v>
      </c>
      <c r="G143" s="916">
        <v>0</v>
      </c>
      <c r="H143" s="916">
        <v>0</v>
      </c>
      <c r="I143" s="916">
        <v>0</v>
      </c>
      <c r="J143" s="916">
        <v>0</v>
      </c>
      <c r="K143" s="916">
        <v>0</v>
      </c>
      <c r="L143" s="916">
        <f t="shared" si="17"/>
        <v>0</v>
      </c>
    </row>
    <row r="144" spans="2:12" hidden="1" x14ac:dyDescent="0.2">
      <c r="B144" t="s">
        <v>198</v>
      </c>
      <c r="C144" s="916">
        <v>0</v>
      </c>
      <c r="D144" s="916">
        <v>0</v>
      </c>
      <c r="E144" s="916">
        <v>0</v>
      </c>
      <c r="F144" s="916">
        <v>0</v>
      </c>
      <c r="G144" s="916">
        <v>0</v>
      </c>
      <c r="H144" s="916">
        <v>0</v>
      </c>
      <c r="I144" s="916">
        <v>0</v>
      </c>
      <c r="J144" s="916">
        <v>0</v>
      </c>
      <c r="K144" s="916">
        <v>0</v>
      </c>
      <c r="L144" s="916">
        <f t="shared" si="17"/>
        <v>0</v>
      </c>
    </row>
    <row r="145" spans="2:12" hidden="1" x14ac:dyDescent="0.2">
      <c r="B145" t="s">
        <v>199</v>
      </c>
      <c r="C145" s="916">
        <v>0</v>
      </c>
      <c r="D145" s="916">
        <v>0</v>
      </c>
      <c r="E145" s="916">
        <v>0</v>
      </c>
      <c r="F145" s="916">
        <v>0</v>
      </c>
      <c r="G145" s="916">
        <v>0</v>
      </c>
      <c r="H145" s="916">
        <v>0</v>
      </c>
      <c r="I145" s="916">
        <v>0</v>
      </c>
      <c r="J145" s="916">
        <v>0</v>
      </c>
      <c r="K145" s="916">
        <v>0</v>
      </c>
      <c r="L145" s="916">
        <f t="shared" si="17"/>
        <v>0</v>
      </c>
    </row>
    <row r="146" spans="2:12" hidden="1" x14ac:dyDescent="0.2">
      <c r="B146" t="s">
        <v>200</v>
      </c>
      <c r="C146" s="916">
        <v>0</v>
      </c>
      <c r="D146" s="916">
        <v>0</v>
      </c>
      <c r="E146" s="916">
        <v>0</v>
      </c>
      <c r="F146" s="916">
        <v>0</v>
      </c>
      <c r="G146" s="916">
        <v>0</v>
      </c>
      <c r="H146" s="916">
        <v>0</v>
      </c>
      <c r="I146" s="916">
        <v>0</v>
      </c>
      <c r="J146" s="916">
        <v>0</v>
      </c>
      <c r="K146" s="916">
        <v>0</v>
      </c>
      <c r="L146" s="916">
        <f t="shared" si="17"/>
        <v>0</v>
      </c>
    </row>
    <row r="147" spans="2:12" hidden="1" x14ac:dyDescent="0.2">
      <c r="B147" t="s">
        <v>201</v>
      </c>
      <c r="C147" s="916">
        <v>0</v>
      </c>
      <c r="D147" s="916">
        <v>0</v>
      </c>
      <c r="E147" s="916">
        <v>0</v>
      </c>
      <c r="F147" s="916">
        <v>0</v>
      </c>
      <c r="G147" s="916">
        <v>0</v>
      </c>
      <c r="H147" s="916">
        <v>0</v>
      </c>
      <c r="I147" s="916">
        <v>0</v>
      </c>
      <c r="J147" s="916">
        <v>0</v>
      </c>
      <c r="K147" s="916">
        <v>0</v>
      </c>
      <c r="L147" s="916">
        <f t="shared" si="17"/>
        <v>0</v>
      </c>
    </row>
    <row r="148" spans="2:12" hidden="1" x14ac:dyDescent="0.2">
      <c r="B148" t="s">
        <v>202</v>
      </c>
      <c r="C148" s="916">
        <v>0</v>
      </c>
      <c r="D148" s="916">
        <v>0</v>
      </c>
      <c r="E148" s="916">
        <v>0</v>
      </c>
      <c r="F148" s="916">
        <v>0</v>
      </c>
      <c r="G148" s="916">
        <v>0</v>
      </c>
      <c r="H148" s="916">
        <v>0</v>
      </c>
      <c r="I148" s="916">
        <v>0</v>
      </c>
      <c r="J148" s="916">
        <v>0</v>
      </c>
      <c r="K148" s="916">
        <v>0</v>
      </c>
      <c r="L148" s="916">
        <f t="shared" si="17"/>
        <v>0</v>
      </c>
    </row>
    <row r="149" spans="2:12" hidden="1" x14ac:dyDescent="0.2">
      <c r="B149" t="s">
        <v>203</v>
      </c>
      <c r="C149" s="916">
        <v>0</v>
      </c>
      <c r="D149" s="916">
        <v>0</v>
      </c>
      <c r="E149" s="916">
        <v>0</v>
      </c>
      <c r="F149" s="916">
        <v>0</v>
      </c>
      <c r="G149" s="916">
        <v>0</v>
      </c>
      <c r="H149" s="916">
        <v>0</v>
      </c>
      <c r="I149" s="916">
        <v>0</v>
      </c>
      <c r="J149" s="916">
        <v>0</v>
      </c>
      <c r="K149" s="916">
        <v>0</v>
      </c>
      <c r="L149" s="916">
        <f t="shared" si="17"/>
        <v>0</v>
      </c>
    </row>
    <row r="150" spans="2:12" hidden="1" x14ac:dyDescent="0.2">
      <c r="B150" t="s">
        <v>204</v>
      </c>
      <c r="C150" s="916">
        <v>0</v>
      </c>
      <c r="D150" s="916">
        <v>0</v>
      </c>
      <c r="E150" s="916">
        <v>0</v>
      </c>
      <c r="F150" s="916">
        <v>0</v>
      </c>
      <c r="G150" s="916">
        <v>0</v>
      </c>
      <c r="H150" s="916">
        <v>0</v>
      </c>
      <c r="I150" s="916">
        <v>0</v>
      </c>
      <c r="J150" s="916">
        <v>0</v>
      </c>
      <c r="K150" s="916">
        <v>0</v>
      </c>
      <c r="L150" s="916">
        <f t="shared" si="17"/>
        <v>0</v>
      </c>
    </row>
    <row r="151" spans="2:12" hidden="1" x14ac:dyDescent="0.2">
      <c r="B151" t="s">
        <v>205</v>
      </c>
      <c r="C151" s="916">
        <v>0</v>
      </c>
      <c r="D151" s="916">
        <v>0</v>
      </c>
      <c r="E151" s="916">
        <v>0</v>
      </c>
      <c r="F151" s="916">
        <v>0</v>
      </c>
      <c r="G151" s="916">
        <v>0</v>
      </c>
      <c r="H151" s="916">
        <v>0</v>
      </c>
      <c r="I151" s="916">
        <v>0</v>
      </c>
      <c r="J151" s="916">
        <v>0</v>
      </c>
      <c r="K151" s="916">
        <v>0</v>
      </c>
      <c r="L151" s="916">
        <f t="shared" si="17"/>
        <v>0</v>
      </c>
    </row>
    <row r="152" spans="2:12" hidden="1" x14ac:dyDescent="0.2">
      <c r="B152" t="s">
        <v>206</v>
      </c>
      <c r="C152" s="916">
        <v>0</v>
      </c>
      <c r="D152" s="916">
        <v>0</v>
      </c>
      <c r="E152" s="916">
        <v>0</v>
      </c>
      <c r="F152" s="916">
        <v>0</v>
      </c>
      <c r="G152" s="916">
        <v>0</v>
      </c>
      <c r="H152" s="916">
        <v>0</v>
      </c>
      <c r="I152" s="916">
        <v>0</v>
      </c>
      <c r="J152" s="916">
        <v>0</v>
      </c>
      <c r="K152" s="916">
        <v>0</v>
      </c>
      <c r="L152" s="916">
        <f t="shared" si="17"/>
        <v>0</v>
      </c>
    </row>
    <row r="153" spans="2:12" hidden="1" x14ac:dyDescent="0.2">
      <c r="B153" t="s">
        <v>207</v>
      </c>
      <c r="C153" s="916">
        <v>0</v>
      </c>
      <c r="D153" s="916">
        <v>0</v>
      </c>
      <c r="E153" s="916">
        <v>0</v>
      </c>
      <c r="F153" s="916">
        <v>0</v>
      </c>
      <c r="G153" s="916">
        <v>0</v>
      </c>
      <c r="H153" s="916">
        <v>0</v>
      </c>
      <c r="I153" s="916">
        <v>0</v>
      </c>
      <c r="J153" s="916">
        <v>0</v>
      </c>
      <c r="K153" s="916">
        <v>0</v>
      </c>
      <c r="L153" s="916">
        <f t="shared" si="17"/>
        <v>0</v>
      </c>
    </row>
    <row r="154" spans="2:12" hidden="1" x14ac:dyDescent="0.2">
      <c r="B154" t="s">
        <v>208</v>
      </c>
      <c r="C154" s="916">
        <v>0</v>
      </c>
      <c r="D154" s="916">
        <v>0</v>
      </c>
      <c r="E154" s="916">
        <v>0</v>
      </c>
      <c r="F154" s="916">
        <v>0</v>
      </c>
      <c r="G154" s="916">
        <v>0</v>
      </c>
      <c r="H154" s="916">
        <v>0</v>
      </c>
      <c r="I154" s="916">
        <v>0</v>
      </c>
      <c r="J154" s="916">
        <v>0</v>
      </c>
      <c r="K154" s="916">
        <v>0</v>
      </c>
      <c r="L154" s="916">
        <f t="shared" si="17"/>
        <v>0</v>
      </c>
    </row>
    <row r="155" spans="2:12" hidden="1" x14ac:dyDescent="0.2">
      <c r="B155" t="s">
        <v>209</v>
      </c>
      <c r="C155" s="916">
        <v>0</v>
      </c>
      <c r="D155" s="916">
        <v>0</v>
      </c>
      <c r="E155" s="916">
        <v>0</v>
      </c>
      <c r="F155" s="916">
        <v>0</v>
      </c>
      <c r="G155" s="916">
        <v>0</v>
      </c>
      <c r="H155" s="916">
        <v>0</v>
      </c>
      <c r="I155" s="916">
        <v>0</v>
      </c>
      <c r="J155" s="916">
        <v>0</v>
      </c>
      <c r="K155" s="916">
        <v>0</v>
      </c>
      <c r="L155" s="916">
        <f t="shared" si="17"/>
        <v>0</v>
      </c>
    </row>
    <row r="156" spans="2:12" hidden="1" x14ac:dyDescent="0.2">
      <c r="B156" t="s">
        <v>210</v>
      </c>
      <c r="C156" s="916">
        <v>0</v>
      </c>
      <c r="D156" s="916">
        <v>0</v>
      </c>
      <c r="E156" s="916">
        <v>0</v>
      </c>
      <c r="F156" s="916">
        <v>0</v>
      </c>
      <c r="G156" s="916">
        <v>0</v>
      </c>
      <c r="H156" s="916">
        <v>0</v>
      </c>
      <c r="I156" s="916">
        <v>0</v>
      </c>
      <c r="J156" s="916">
        <v>0</v>
      </c>
      <c r="K156" s="916">
        <v>0</v>
      </c>
      <c r="L156" s="916">
        <f t="shared" si="17"/>
        <v>0</v>
      </c>
    </row>
    <row r="157" spans="2:12" hidden="1" x14ac:dyDescent="0.2">
      <c r="B157" t="s">
        <v>211</v>
      </c>
      <c r="C157" s="916">
        <v>0</v>
      </c>
      <c r="D157" s="916">
        <v>0</v>
      </c>
      <c r="E157" s="916">
        <v>0</v>
      </c>
      <c r="F157" s="916">
        <v>0</v>
      </c>
      <c r="G157" s="916">
        <v>0</v>
      </c>
      <c r="H157" s="916">
        <v>0</v>
      </c>
      <c r="I157" s="916">
        <v>0</v>
      </c>
      <c r="J157" s="916">
        <v>0</v>
      </c>
      <c r="K157" s="916">
        <v>0</v>
      </c>
      <c r="L157" s="916">
        <f t="shared" si="17"/>
        <v>0</v>
      </c>
    </row>
    <row r="158" spans="2:12" hidden="1" x14ac:dyDescent="0.2">
      <c r="B158" t="s">
        <v>212</v>
      </c>
      <c r="C158" s="916">
        <v>0</v>
      </c>
      <c r="D158" s="916">
        <v>0</v>
      </c>
      <c r="E158" s="916">
        <v>0</v>
      </c>
      <c r="F158" s="916">
        <v>0</v>
      </c>
      <c r="G158" s="916">
        <v>0</v>
      </c>
      <c r="H158" s="916">
        <v>0</v>
      </c>
      <c r="I158" s="916">
        <v>0</v>
      </c>
      <c r="J158" s="916">
        <v>0</v>
      </c>
      <c r="K158" s="916">
        <v>0</v>
      </c>
      <c r="L158" s="916">
        <f t="shared" si="17"/>
        <v>0</v>
      </c>
    </row>
    <row r="159" spans="2:12" hidden="1" x14ac:dyDescent="0.2">
      <c r="B159" t="s">
        <v>213</v>
      </c>
      <c r="C159" s="916">
        <v>0</v>
      </c>
      <c r="D159" s="916">
        <v>0</v>
      </c>
      <c r="E159" s="916">
        <v>0</v>
      </c>
      <c r="F159" s="916">
        <v>0</v>
      </c>
      <c r="G159" s="916">
        <v>0</v>
      </c>
      <c r="H159" s="916">
        <v>0</v>
      </c>
      <c r="I159" s="916">
        <v>0</v>
      </c>
      <c r="J159" s="916">
        <v>0</v>
      </c>
      <c r="K159" s="916">
        <v>0</v>
      </c>
      <c r="L159" s="916">
        <f t="shared" si="17"/>
        <v>0</v>
      </c>
    </row>
    <row r="160" spans="2:12" hidden="1" x14ac:dyDescent="0.2">
      <c r="B160" t="s">
        <v>214</v>
      </c>
      <c r="C160" s="916">
        <v>0</v>
      </c>
      <c r="D160" s="916">
        <v>0</v>
      </c>
      <c r="E160" s="916">
        <v>0</v>
      </c>
      <c r="F160" s="916">
        <v>0</v>
      </c>
      <c r="G160" s="916">
        <v>0</v>
      </c>
      <c r="H160" s="916">
        <v>0</v>
      </c>
      <c r="I160" s="916">
        <v>0</v>
      </c>
      <c r="J160" s="916">
        <v>0</v>
      </c>
      <c r="K160" s="916">
        <v>0</v>
      </c>
      <c r="L160" s="916">
        <f t="shared" si="17"/>
        <v>0</v>
      </c>
    </row>
    <row r="161" spans="1:12" hidden="1" x14ac:dyDescent="0.2">
      <c r="B161" t="s">
        <v>215</v>
      </c>
      <c r="C161" s="916">
        <v>0</v>
      </c>
      <c r="D161" s="916">
        <v>0</v>
      </c>
      <c r="E161" s="916">
        <v>0</v>
      </c>
      <c r="F161" s="916">
        <v>0</v>
      </c>
      <c r="G161" s="916">
        <v>0</v>
      </c>
      <c r="H161" s="916">
        <v>0</v>
      </c>
      <c r="I161" s="916">
        <v>0</v>
      </c>
      <c r="J161" s="916">
        <v>0</v>
      </c>
      <c r="K161" s="916">
        <v>0</v>
      </c>
      <c r="L161" s="916">
        <f t="shared" si="17"/>
        <v>0</v>
      </c>
    </row>
    <row r="162" spans="1:12" hidden="1" x14ac:dyDescent="0.2">
      <c r="B162" t="s">
        <v>216</v>
      </c>
      <c r="C162" s="916">
        <v>0</v>
      </c>
      <c r="D162" s="916">
        <v>0</v>
      </c>
      <c r="E162" s="916">
        <v>0</v>
      </c>
      <c r="F162" s="916">
        <v>0</v>
      </c>
      <c r="G162" s="916">
        <v>0</v>
      </c>
      <c r="H162" s="916">
        <v>0</v>
      </c>
      <c r="I162" s="916">
        <v>0</v>
      </c>
      <c r="J162" s="916">
        <v>0</v>
      </c>
      <c r="K162" s="916">
        <v>0</v>
      </c>
      <c r="L162" s="916">
        <f t="shared" si="17"/>
        <v>0</v>
      </c>
    </row>
    <row r="163" spans="1:12" hidden="1" x14ac:dyDescent="0.2">
      <c r="B163" t="s">
        <v>217</v>
      </c>
      <c r="C163" s="916">
        <v>0</v>
      </c>
      <c r="D163" s="916">
        <v>0</v>
      </c>
      <c r="E163" s="916">
        <v>0</v>
      </c>
      <c r="F163" s="916">
        <v>0</v>
      </c>
      <c r="G163" s="916">
        <v>0</v>
      </c>
      <c r="H163" s="916">
        <v>0</v>
      </c>
      <c r="I163" s="916">
        <v>0</v>
      </c>
      <c r="J163" s="916">
        <v>0</v>
      </c>
      <c r="K163" s="916">
        <v>0</v>
      </c>
      <c r="L163" s="916">
        <f t="shared" si="17"/>
        <v>0</v>
      </c>
    </row>
    <row r="164" spans="1:12" hidden="1" x14ac:dyDescent="0.2">
      <c r="B164" t="s">
        <v>218</v>
      </c>
      <c r="C164" s="916">
        <v>0</v>
      </c>
      <c r="D164" s="916">
        <v>0</v>
      </c>
      <c r="E164" s="916">
        <v>0</v>
      </c>
      <c r="F164" s="916">
        <v>0</v>
      </c>
      <c r="G164" s="916">
        <v>0</v>
      </c>
      <c r="H164" s="916">
        <v>0</v>
      </c>
      <c r="I164" s="916">
        <v>0</v>
      </c>
      <c r="J164" s="916">
        <v>0</v>
      </c>
      <c r="K164" s="916">
        <v>0</v>
      </c>
      <c r="L164" s="916">
        <f t="shared" si="17"/>
        <v>0</v>
      </c>
    </row>
    <row r="165" spans="1:12" hidden="1" x14ac:dyDescent="0.2">
      <c r="B165" t="s">
        <v>219</v>
      </c>
      <c r="C165" s="916">
        <v>0</v>
      </c>
      <c r="D165" s="916">
        <v>0</v>
      </c>
      <c r="E165" s="916">
        <v>0</v>
      </c>
      <c r="F165" s="916">
        <v>0</v>
      </c>
      <c r="G165" s="916">
        <v>0</v>
      </c>
      <c r="H165" s="916">
        <v>0</v>
      </c>
      <c r="I165" s="916">
        <v>0</v>
      </c>
      <c r="J165" s="916">
        <v>0</v>
      </c>
      <c r="K165" s="916">
        <v>0</v>
      </c>
      <c r="L165" s="916">
        <f t="shared" si="17"/>
        <v>0</v>
      </c>
    </row>
    <row r="166" spans="1:12" hidden="1" x14ac:dyDescent="0.2">
      <c r="B166" t="s">
        <v>220</v>
      </c>
      <c r="C166" s="916">
        <v>0</v>
      </c>
      <c r="D166" s="916">
        <v>0</v>
      </c>
      <c r="E166" s="916">
        <v>0</v>
      </c>
      <c r="F166" s="916">
        <v>0</v>
      </c>
      <c r="G166" s="916">
        <v>0</v>
      </c>
      <c r="H166" s="916">
        <v>0</v>
      </c>
      <c r="I166" s="916">
        <v>0</v>
      </c>
      <c r="J166" s="916">
        <v>0</v>
      </c>
      <c r="K166" s="916">
        <v>0</v>
      </c>
      <c r="L166" s="916">
        <f t="shared" si="17"/>
        <v>0</v>
      </c>
    </row>
    <row r="167" spans="1:12" hidden="1" x14ac:dyDescent="0.2">
      <c r="B167" t="s">
        <v>221</v>
      </c>
      <c r="C167" s="916">
        <v>0</v>
      </c>
      <c r="D167" s="916">
        <v>0</v>
      </c>
      <c r="E167" s="916">
        <v>0</v>
      </c>
      <c r="F167" s="916">
        <v>0</v>
      </c>
      <c r="G167" s="916">
        <v>0</v>
      </c>
      <c r="H167" s="916">
        <v>0</v>
      </c>
      <c r="I167" s="916">
        <v>0</v>
      </c>
      <c r="J167" s="916">
        <v>0</v>
      </c>
      <c r="K167" s="916">
        <v>0</v>
      </c>
      <c r="L167" s="916">
        <f t="shared" si="17"/>
        <v>0</v>
      </c>
    </row>
    <row r="168" spans="1:12" hidden="1" x14ac:dyDescent="0.2">
      <c r="A168" s="2" t="s">
        <v>10</v>
      </c>
      <c r="B168" t="s">
        <v>142</v>
      </c>
      <c r="C168" s="916">
        <v>0</v>
      </c>
      <c r="D168" s="916">
        <v>0</v>
      </c>
      <c r="E168" s="916">
        <v>0</v>
      </c>
      <c r="F168" s="916">
        <v>0</v>
      </c>
      <c r="G168" s="916">
        <v>0</v>
      </c>
      <c r="H168" s="916">
        <v>0</v>
      </c>
      <c r="I168" s="916">
        <v>0</v>
      </c>
      <c r="J168" s="916">
        <v>0</v>
      </c>
      <c r="K168" s="916">
        <v>0</v>
      </c>
      <c r="L168" s="916">
        <f t="shared" si="17"/>
        <v>0</v>
      </c>
    </row>
    <row r="169" spans="1:12" hidden="1" x14ac:dyDescent="0.2">
      <c r="A169" s="2" t="s">
        <v>10</v>
      </c>
      <c r="B169" t="s">
        <v>141</v>
      </c>
      <c r="C169" s="916">
        <v>0</v>
      </c>
      <c r="D169" s="916">
        <v>0</v>
      </c>
      <c r="E169" s="916">
        <v>0</v>
      </c>
      <c r="F169" s="916">
        <v>0</v>
      </c>
      <c r="G169" s="916">
        <v>0</v>
      </c>
      <c r="H169" s="916">
        <v>0</v>
      </c>
      <c r="I169" s="916">
        <v>0</v>
      </c>
      <c r="J169" s="916">
        <v>0</v>
      </c>
      <c r="K169" s="916">
        <v>0</v>
      </c>
      <c r="L169" s="916">
        <f t="shared" si="17"/>
        <v>0</v>
      </c>
    </row>
    <row r="170" spans="1:12" hidden="1" x14ac:dyDescent="0.2">
      <c r="A170" s="2" t="s">
        <v>33</v>
      </c>
      <c r="B170" t="s">
        <v>222</v>
      </c>
      <c r="C170" s="916">
        <v>0</v>
      </c>
      <c r="D170" s="916">
        <v>0</v>
      </c>
      <c r="E170" s="916">
        <v>0</v>
      </c>
      <c r="F170" s="916">
        <v>0</v>
      </c>
      <c r="G170" s="916">
        <v>0</v>
      </c>
      <c r="H170" s="916">
        <v>0</v>
      </c>
      <c r="I170" s="916">
        <v>0</v>
      </c>
      <c r="J170" s="916">
        <v>0</v>
      </c>
      <c r="K170" s="916">
        <v>0</v>
      </c>
      <c r="L170" s="916">
        <f t="shared" si="17"/>
        <v>0</v>
      </c>
    </row>
    <row r="171" spans="1:12" hidden="1" x14ac:dyDescent="0.2">
      <c r="A171" s="2" t="s">
        <v>10</v>
      </c>
      <c r="B171" t="s">
        <v>138</v>
      </c>
      <c r="C171" s="916">
        <v>0</v>
      </c>
      <c r="D171" s="916">
        <v>0</v>
      </c>
      <c r="E171" s="916">
        <v>0</v>
      </c>
      <c r="F171" s="916">
        <v>0</v>
      </c>
      <c r="G171" s="916">
        <v>0</v>
      </c>
      <c r="H171" s="916">
        <v>0</v>
      </c>
      <c r="I171" s="916">
        <v>0</v>
      </c>
      <c r="J171" s="916">
        <v>0</v>
      </c>
      <c r="K171" s="916">
        <v>0</v>
      </c>
      <c r="L171" s="916">
        <f t="shared" si="17"/>
        <v>0</v>
      </c>
    </row>
    <row r="172" spans="1:12" hidden="1" x14ac:dyDescent="0.2">
      <c r="A172" s="2" t="s">
        <v>10</v>
      </c>
      <c r="B172" t="s">
        <v>136</v>
      </c>
      <c r="C172" s="916">
        <v>0</v>
      </c>
      <c r="D172" s="916">
        <v>0</v>
      </c>
      <c r="E172" s="916">
        <v>0</v>
      </c>
      <c r="F172" s="916">
        <v>0</v>
      </c>
      <c r="G172" s="916">
        <v>0</v>
      </c>
      <c r="H172" s="916">
        <v>0</v>
      </c>
      <c r="I172" s="916">
        <v>0</v>
      </c>
      <c r="J172" s="916">
        <v>0</v>
      </c>
      <c r="K172" s="916">
        <v>0</v>
      </c>
      <c r="L172" s="916">
        <f t="shared" si="17"/>
        <v>0</v>
      </c>
    </row>
    <row r="173" spans="1:12" hidden="1" x14ac:dyDescent="0.2">
      <c r="B173" t="s">
        <v>223</v>
      </c>
      <c r="C173" s="916">
        <v>0</v>
      </c>
      <c r="D173" s="916">
        <v>0</v>
      </c>
      <c r="E173" s="916">
        <v>0</v>
      </c>
      <c r="F173" s="916">
        <v>0</v>
      </c>
      <c r="G173" s="916">
        <v>0</v>
      </c>
      <c r="H173" s="916">
        <v>0</v>
      </c>
      <c r="I173" s="916">
        <v>0</v>
      </c>
      <c r="J173" s="916">
        <v>0</v>
      </c>
      <c r="K173" s="916">
        <v>0</v>
      </c>
      <c r="L173" s="916">
        <f t="shared" si="17"/>
        <v>0</v>
      </c>
    </row>
    <row r="174" spans="1:12" hidden="1" x14ac:dyDescent="0.2">
      <c r="B174" t="s">
        <v>224</v>
      </c>
      <c r="C174" s="916">
        <v>0</v>
      </c>
      <c r="D174" s="916">
        <v>0</v>
      </c>
      <c r="E174" s="916">
        <v>0</v>
      </c>
      <c r="F174" s="916">
        <v>0</v>
      </c>
      <c r="G174" s="916">
        <v>0</v>
      </c>
      <c r="H174" s="916">
        <v>0</v>
      </c>
      <c r="I174" s="916">
        <v>0</v>
      </c>
      <c r="J174" s="916">
        <v>0</v>
      </c>
      <c r="K174" s="916">
        <v>0</v>
      </c>
      <c r="L174" s="916">
        <f t="shared" si="17"/>
        <v>0</v>
      </c>
    </row>
    <row r="175" spans="1:12" hidden="1" x14ac:dyDescent="0.2">
      <c r="B175" t="s">
        <v>225</v>
      </c>
      <c r="C175" s="916">
        <v>0</v>
      </c>
      <c r="D175" s="916">
        <v>0</v>
      </c>
      <c r="E175" s="916">
        <v>0</v>
      </c>
      <c r="F175" s="916">
        <v>0</v>
      </c>
      <c r="G175" s="916">
        <v>0</v>
      </c>
      <c r="H175" s="916">
        <v>0</v>
      </c>
      <c r="I175" s="916">
        <v>0</v>
      </c>
      <c r="J175" s="916">
        <v>0</v>
      </c>
      <c r="K175" s="916">
        <v>0</v>
      </c>
      <c r="L175" s="916">
        <f t="shared" si="17"/>
        <v>0</v>
      </c>
    </row>
    <row r="176" spans="1:12" hidden="1" x14ac:dyDescent="0.2">
      <c r="B176" t="s">
        <v>226</v>
      </c>
      <c r="C176" s="916">
        <v>0</v>
      </c>
      <c r="D176" s="916">
        <v>0</v>
      </c>
      <c r="E176" s="916">
        <v>0</v>
      </c>
      <c r="F176" s="916">
        <v>0</v>
      </c>
      <c r="G176" s="916">
        <v>0</v>
      </c>
      <c r="H176" s="916">
        <v>0</v>
      </c>
      <c r="I176" s="916">
        <v>0</v>
      </c>
      <c r="J176" s="916">
        <v>0</v>
      </c>
      <c r="K176" s="916">
        <v>0</v>
      </c>
      <c r="L176" s="916">
        <f t="shared" si="17"/>
        <v>0</v>
      </c>
    </row>
    <row r="177" spans="2:12" hidden="1" x14ac:dyDescent="0.2">
      <c r="B177" t="s">
        <v>227</v>
      </c>
      <c r="C177" s="916">
        <v>0</v>
      </c>
      <c r="D177" s="916">
        <v>0</v>
      </c>
      <c r="E177" s="916">
        <v>0</v>
      </c>
      <c r="F177" s="916">
        <v>0</v>
      </c>
      <c r="G177" s="916">
        <v>0</v>
      </c>
      <c r="H177" s="916">
        <v>0</v>
      </c>
      <c r="I177" s="916">
        <v>0</v>
      </c>
      <c r="J177" s="916">
        <v>0</v>
      </c>
      <c r="K177" s="916">
        <v>0</v>
      </c>
      <c r="L177" s="916">
        <f t="shared" si="17"/>
        <v>0</v>
      </c>
    </row>
    <row r="178" spans="2:12" hidden="1" x14ac:dyDescent="0.2">
      <c r="B178" t="s">
        <v>228</v>
      </c>
      <c r="C178" s="916">
        <v>0</v>
      </c>
      <c r="D178" s="916">
        <v>0</v>
      </c>
      <c r="E178" s="916">
        <v>0</v>
      </c>
      <c r="F178" s="916">
        <v>0</v>
      </c>
      <c r="G178" s="916">
        <v>0</v>
      </c>
      <c r="H178" s="916">
        <v>0</v>
      </c>
      <c r="I178" s="916">
        <v>0</v>
      </c>
      <c r="J178" s="916">
        <v>0</v>
      </c>
      <c r="K178" s="916">
        <v>0</v>
      </c>
      <c r="L178" s="916">
        <f t="shared" si="17"/>
        <v>0</v>
      </c>
    </row>
    <row r="179" spans="2:12" hidden="1" x14ac:dyDescent="0.2">
      <c r="B179" t="s">
        <v>229</v>
      </c>
      <c r="C179" s="916">
        <v>0</v>
      </c>
      <c r="D179" s="916">
        <v>0</v>
      </c>
      <c r="E179" s="916">
        <v>0</v>
      </c>
      <c r="F179" s="916">
        <v>0</v>
      </c>
      <c r="G179" s="916">
        <v>0</v>
      </c>
      <c r="H179" s="916">
        <v>0</v>
      </c>
      <c r="I179" s="916">
        <v>0</v>
      </c>
      <c r="J179" s="916">
        <v>0</v>
      </c>
      <c r="K179" s="916">
        <v>0</v>
      </c>
      <c r="L179" s="916">
        <f t="shared" si="17"/>
        <v>0</v>
      </c>
    </row>
    <row r="180" spans="2:12" hidden="1" x14ac:dyDescent="0.2">
      <c r="B180" t="s">
        <v>230</v>
      </c>
      <c r="C180" s="916">
        <v>0</v>
      </c>
      <c r="D180" s="916">
        <v>0</v>
      </c>
      <c r="E180" s="916">
        <v>0</v>
      </c>
      <c r="F180" s="916">
        <v>0</v>
      </c>
      <c r="G180" s="916">
        <v>0</v>
      </c>
      <c r="H180" s="916">
        <v>0</v>
      </c>
      <c r="I180" s="916">
        <v>0</v>
      </c>
      <c r="J180" s="916">
        <v>0</v>
      </c>
      <c r="K180" s="916">
        <v>0</v>
      </c>
      <c r="L180" s="916">
        <f t="shared" si="17"/>
        <v>0</v>
      </c>
    </row>
    <row r="181" spans="2:12" hidden="1" x14ac:dyDescent="0.2">
      <c r="B181" t="s">
        <v>231</v>
      </c>
      <c r="C181" s="916">
        <v>0</v>
      </c>
      <c r="D181" s="916">
        <v>0</v>
      </c>
      <c r="E181" s="916">
        <v>0</v>
      </c>
      <c r="F181" s="916">
        <v>0</v>
      </c>
      <c r="G181" s="916">
        <v>0</v>
      </c>
      <c r="H181" s="916">
        <v>0</v>
      </c>
      <c r="I181" s="916">
        <v>0</v>
      </c>
      <c r="J181" s="916">
        <v>0</v>
      </c>
      <c r="K181" s="916">
        <v>0</v>
      </c>
      <c r="L181" s="916">
        <f t="shared" si="17"/>
        <v>0</v>
      </c>
    </row>
    <row r="182" spans="2:12" hidden="1" x14ac:dyDescent="0.2">
      <c r="B182" t="s">
        <v>232</v>
      </c>
      <c r="C182" s="916">
        <v>0</v>
      </c>
      <c r="D182" s="916">
        <v>0</v>
      </c>
      <c r="E182" s="916">
        <v>0</v>
      </c>
      <c r="F182" s="916">
        <v>0</v>
      </c>
      <c r="G182" s="916">
        <v>0</v>
      </c>
      <c r="H182" s="916">
        <v>0</v>
      </c>
      <c r="I182" s="916">
        <v>0</v>
      </c>
      <c r="J182" s="916">
        <v>0</v>
      </c>
      <c r="K182" s="916">
        <v>0</v>
      </c>
      <c r="L182" s="916">
        <f t="shared" si="17"/>
        <v>0</v>
      </c>
    </row>
    <row r="183" spans="2:12" hidden="1" x14ac:dyDescent="0.2">
      <c r="B183" t="s">
        <v>233</v>
      </c>
      <c r="C183" s="916">
        <v>0</v>
      </c>
      <c r="D183" s="916">
        <v>0</v>
      </c>
      <c r="E183" s="916">
        <v>0</v>
      </c>
      <c r="F183" s="916">
        <v>0</v>
      </c>
      <c r="G183" s="916">
        <v>0</v>
      </c>
      <c r="H183" s="916">
        <v>0</v>
      </c>
      <c r="I183" s="916">
        <v>0</v>
      </c>
      <c r="J183" s="916">
        <v>0</v>
      </c>
      <c r="K183" s="916">
        <v>0</v>
      </c>
      <c r="L183" s="916">
        <f t="shared" si="17"/>
        <v>0</v>
      </c>
    </row>
    <row r="184" spans="2:12" hidden="1" x14ac:dyDescent="0.2">
      <c r="B184" t="s">
        <v>234</v>
      </c>
      <c r="C184" s="916">
        <v>0</v>
      </c>
      <c r="D184" s="916">
        <v>0</v>
      </c>
      <c r="E184" s="916">
        <v>0</v>
      </c>
      <c r="F184" s="916">
        <v>0</v>
      </c>
      <c r="G184" s="916">
        <v>0</v>
      </c>
      <c r="H184" s="916">
        <v>0</v>
      </c>
      <c r="I184" s="916">
        <v>0</v>
      </c>
      <c r="J184" s="916">
        <v>0</v>
      </c>
      <c r="K184" s="916">
        <v>0</v>
      </c>
      <c r="L184" s="916">
        <f t="shared" si="17"/>
        <v>0</v>
      </c>
    </row>
    <row r="185" spans="2:12" x14ac:dyDescent="0.2">
      <c r="B185" t="s">
        <v>9</v>
      </c>
      <c r="C185" s="916">
        <v>0</v>
      </c>
      <c r="D185" s="916">
        <v>0</v>
      </c>
      <c r="E185" s="916">
        <v>0</v>
      </c>
      <c r="F185" s="916">
        <v>0</v>
      </c>
      <c r="G185" s="916">
        <v>0</v>
      </c>
      <c r="H185" s="916">
        <v>0</v>
      </c>
      <c r="I185" s="916">
        <v>0</v>
      </c>
      <c r="J185" s="916">
        <v>0</v>
      </c>
      <c r="K185" s="916">
        <v>-200000</v>
      </c>
      <c r="L185" s="916">
        <f t="shared" si="17"/>
        <v>-200000</v>
      </c>
    </row>
    <row r="186" spans="2:12" hidden="1" x14ac:dyDescent="0.2">
      <c r="B186" s="3" t="s">
        <v>581</v>
      </c>
      <c r="C186" s="916">
        <v>0</v>
      </c>
      <c r="D186" s="916">
        <v>0</v>
      </c>
      <c r="E186" s="916">
        <v>0</v>
      </c>
      <c r="F186" s="916">
        <v>0</v>
      </c>
      <c r="G186" s="916">
        <v>0</v>
      </c>
      <c r="H186" s="916">
        <v>0</v>
      </c>
      <c r="I186" s="916">
        <v>0</v>
      </c>
      <c r="J186" s="916">
        <v>0</v>
      </c>
      <c r="K186" s="916">
        <v>0</v>
      </c>
      <c r="L186" s="916">
        <f t="shared" si="17"/>
        <v>0</v>
      </c>
    </row>
    <row r="187" spans="2:12" hidden="1" x14ac:dyDescent="0.2">
      <c r="B187" s="3" t="s">
        <v>235</v>
      </c>
      <c r="C187" s="916">
        <v>0</v>
      </c>
      <c r="D187" s="916">
        <v>0</v>
      </c>
      <c r="E187" s="916">
        <v>0</v>
      </c>
      <c r="F187" s="916">
        <v>0</v>
      </c>
      <c r="G187" s="916">
        <v>0</v>
      </c>
      <c r="H187" s="916">
        <v>0</v>
      </c>
      <c r="I187" s="916">
        <v>0</v>
      </c>
      <c r="J187" s="916">
        <v>0</v>
      </c>
      <c r="K187" s="916">
        <v>0</v>
      </c>
      <c r="L187" s="916">
        <f t="shared" si="17"/>
        <v>0</v>
      </c>
    </row>
    <row r="188" spans="2:12" hidden="1" x14ac:dyDescent="0.2">
      <c r="B188" t="s">
        <v>236</v>
      </c>
      <c r="C188" s="916">
        <v>0</v>
      </c>
      <c r="D188" s="916">
        <v>0</v>
      </c>
      <c r="E188" s="916">
        <v>0</v>
      </c>
      <c r="F188" s="916">
        <v>0</v>
      </c>
      <c r="G188" s="916">
        <v>0</v>
      </c>
      <c r="H188" s="916">
        <v>0</v>
      </c>
      <c r="I188" s="916">
        <v>0</v>
      </c>
      <c r="J188" s="916">
        <v>0</v>
      </c>
      <c r="K188" s="916">
        <v>0</v>
      </c>
      <c r="L188" s="916">
        <f t="shared" ref="L188:L212" si="18">SUM(C188:K188)</f>
        <v>0</v>
      </c>
    </row>
    <row r="189" spans="2:12" hidden="1" x14ac:dyDescent="0.2">
      <c r="B189" t="s">
        <v>237</v>
      </c>
      <c r="C189" s="916">
        <v>0</v>
      </c>
      <c r="D189" s="916">
        <v>0</v>
      </c>
      <c r="E189" s="916">
        <v>0</v>
      </c>
      <c r="F189" s="916">
        <v>0</v>
      </c>
      <c r="G189" s="916">
        <v>0</v>
      </c>
      <c r="H189" s="916">
        <v>0</v>
      </c>
      <c r="I189" s="916">
        <v>0</v>
      </c>
      <c r="J189" s="916">
        <v>0</v>
      </c>
      <c r="K189" s="916">
        <v>0</v>
      </c>
      <c r="L189" s="916">
        <f t="shared" si="18"/>
        <v>0</v>
      </c>
    </row>
    <row r="190" spans="2:12" hidden="1" x14ac:dyDescent="0.2">
      <c r="B190" t="s">
        <v>238</v>
      </c>
      <c r="C190" s="916">
        <v>0</v>
      </c>
      <c r="D190" s="916">
        <v>0</v>
      </c>
      <c r="E190" s="916">
        <v>0</v>
      </c>
      <c r="F190" s="916">
        <v>0</v>
      </c>
      <c r="G190" s="916">
        <v>0</v>
      </c>
      <c r="H190" s="916">
        <v>0</v>
      </c>
      <c r="I190" s="916">
        <v>0</v>
      </c>
      <c r="J190" s="916">
        <v>0</v>
      </c>
      <c r="K190" s="916">
        <v>0</v>
      </c>
      <c r="L190" s="916">
        <f t="shared" si="18"/>
        <v>0</v>
      </c>
    </row>
    <row r="191" spans="2:12" hidden="1" x14ac:dyDescent="0.2">
      <c r="B191" t="s">
        <v>239</v>
      </c>
      <c r="C191" s="916">
        <v>0</v>
      </c>
      <c r="D191" s="916">
        <v>0</v>
      </c>
      <c r="E191" s="916">
        <v>0</v>
      </c>
      <c r="F191" s="916">
        <v>0</v>
      </c>
      <c r="G191" s="916">
        <v>0</v>
      </c>
      <c r="H191" s="916">
        <v>0</v>
      </c>
      <c r="I191" s="916">
        <v>0</v>
      </c>
      <c r="J191" s="916">
        <v>0</v>
      </c>
      <c r="K191" s="916">
        <v>0</v>
      </c>
      <c r="L191" s="916">
        <f t="shared" si="18"/>
        <v>0</v>
      </c>
    </row>
    <row r="192" spans="2:12" hidden="1" x14ac:dyDescent="0.2">
      <c r="B192" t="s">
        <v>240</v>
      </c>
      <c r="C192" s="916">
        <v>0</v>
      </c>
      <c r="D192" s="916">
        <v>0</v>
      </c>
      <c r="E192" s="916">
        <v>0</v>
      </c>
      <c r="F192" s="916">
        <v>0</v>
      </c>
      <c r="G192" s="916">
        <v>0</v>
      </c>
      <c r="H192" s="916">
        <v>0</v>
      </c>
      <c r="I192" s="916">
        <v>0</v>
      </c>
      <c r="J192" s="916">
        <v>0</v>
      </c>
      <c r="K192" s="916">
        <v>0</v>
      </c>
      <c r="L192" s="916">
        <f t="shared" si="18"/>
        <v>0</v>
      </c>
    </row>
    <row r="193" spans="2:12" hidden="1" x14ac:dyDescent="0.2">
      <c r="B193" t="s">
        <v>241</v>
      </c>
      <c r="C193" s="916">
        <v>0</v>
      </c>
      <c r="D193" s="916">
        <v>0</v>
      </c>
      <c r="E193" s="916">
        <v>0</v>
      </c>
      <c r="F193" s="916">
        <v>0</v>
      </c>
      <c r="G193" s="916">
        <v>0</v>
      </c>
      <c r="H193" s="916">
        <v>0</v>
      </c>
      <c r="I193" s="916">
        <v>0</v>
      </c>
      <c r="J193" s="916">
        <v>0</v>
      </c>
      <c r="K193" s="916">
        <v>0</v>
      </c>
      <c r="L193" s="916">
        <f t="shared" si="18"/>
        <v>0</v>
      </c>
    </row>
    <row r="194" spans="2:12" hidden="1" x14ac:dyDescent="0.2">
      <c r="B194" t="s">
        <v>242</v>
      </c>
      <c r="C194" s="916">
        <v>0</v>
      </c>
      <c r="D194" s="916">
        <v>0</v>
      </c>
      <c r="E194" s="916">
        <v>0</v>
      </c>
      <c r="F194" s="916">
        <v>0</v>
      </c>
      <c r="G194" s="916">
        <v>0</v>
      </c>
      <c r="H194" s="916">
        <v>0</v>
      </c>
      <c r="I194" s="916">
        <v>0</v>
      </c>
      <c r="J194" s="916">
        <v>0</v>
      </c>
      <c r="K194" s="916">
        <v>0</v>
      </c>
      <c r="L194" s="916">
        <f t="shared" si="18"/>
        <v>0</v>
      </c>
    </row>
    <row r="195" spans="2:12" hidden="1" x14ac:dyDescent="0.2">
      <c r="B195" t="s">
        <v>243</v>
      </c>
      <c r="C195" s="916">
        <v>0</v>
      </c>
      <c r="D195" s="916">
        <v>0</v>
      </c>
      <c r="E195" s="916">
        <v>0</v>
      </c>
      <c r="F195" s="916">
        <v>0</v>
      </c>
      <c r="G195" s="916">
        <v>0</v>
      </c>
      <c r="H195" s="916">
        <v>0</v>
      </c>
      <c r="I195" s="916">
        <v>0</v>
      </c>
      <c r="J195" s="916">
        <v>0</v>
      </c>
      <c r="K195" s="916">
        <v>0</v>
      </c>
      <c r="L195" s="916">
        <f t="shared" si="18"/>
        <v>0</v>
      </c>
    </row>
    <row r="196" spans="2:12" hidden="1" x14ac:dyDescent="0.2">
      <c r="B196" t="s">
        <v>244</v>
      </c>
      <c r="C196" s="916">
        <v>0</v>
      </c>
      <c r="D196" s="916">
        <v>0</v>
      </c>
      <c r="E196" s="916">
        <v>0</v>
      </c>
      <c r="F196" s="916">
        <v>0</v>
      </c>
      <c r="G196" s="916">
        <v>0</v>
      </c>
      <c r="H196" s="916">
        <v>0</v>
      </c>
      <c r="I196" s="916">
        <v>0</v>
      </c>
      <c r="J196" s="916">
        <v>0</v>
      </c>
      <c r="K196" s="916">
        <v>0</v>
      </c>
      <c r="L196" s="916">
        <f t="shared" si="18"/>
        <v>0</v>
      </c>
    </row>
    <row r="197" spans="2:12" x14ac:dyDescent="0.2">
      <c r="B197" s="2" t="s">
        <v>245</v>
      </c>
      <c r="C197" s="916"/>
      <c r="D197" s="916"/>
      <c r="E197" s="916"/>
      <c r="F197" s="916"/>
      <c r="G197" s="916"/>
      <c r="H197" s="916"/>
      <c r="I197" s="916"/>
      <c r="J197" s="916"/>
      <c r="K197" s="916"/>
      <c r="L197" s="916">
        <f t="shared" si="18"/>
        <v>0</v>
      </c>
    </row>
    <row r="198" spans="2:12" hidden="1" x14ac:dyDescent="0.2">
      <c r="B198" t="s">
        <v>246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f t="shared" si="18"/>
        <v>0</v>
      </c>
    </row>
    <row r="199" spans="2:12" hidden="1" x14ac:dyDescent="0.2">
      <c r="B199" t="s">
        <v>247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f t="shared" si="18"/>
        <v>0</v>
      </c>
    </row>
    <row r="200" spans="2:12" hidden="1" x14ac:dyDescent="0.2">
      <c r="B200" t="s">
        <v>248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f t="shared" si="18"/>
        <v>0</v>
      </c>
    </row>
    <row r="201" spans="2:12" hidden="1" x14ac:dyDescent="0.2">
      <c r="B201" t="s">
        <v>249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f t="shared" si="18"/>
        <v>0</v>
      </c>
    </row>
    <row r="202" spans="2:12" hidden="1" x14ac:dyDescent="0.2">
      <c r="B202" t="s">
        <v>250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f t="shared" si="18"/>
        <v>0</v>
      </c>
    </row>
    <row r="203" spans="2:12" hidden="1" x14ac:dyDescent="0.2">
      <c r="B203" t="s">
        <v>251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f t="shared" si="18"/>
        <v>0</v>
      </c>
    </row>
    <row r="204" spans="2:12" hidden="1" x14ac:dyDescent="0.2">
      <c r="B204" t="s">
        <v>252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f t="shared" si="18"/>
        <v>0</v>
      </c>
    </row>
    <row r="205" spans="2:12" hidden="1" x14ac:dyDescent="0.2">
      <c r="B205" t="s">
        <v>253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f t="shared" si="18"/>
        <v>0</v>
      </c>
    </row>
    <row r="206" spans="2:12" hidden="1" x14ac:dyDescent="0.2">
      <c r="B206" t="s">
        <v>254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f t="shared" si="18"/>
        <v>0</v>
      </c>
    </row>
    <row r="207" spans="2:12" hidden="1" x14ac:dyDescent="0.2">
      <c r="B207" t="s">
        <v>255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f t="shared" si="18"/>
        <v>0</v>
      </c>
    </row>
    <row r="208" spans="2:12" hidden="1" x14ac:dyDescent="0.2">
      <c r="B208" t="s">
        <v>256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f t="shared" si="18"/>
        <v>0</v>
      </c>
    </row>
    <row r="209" spans="2:12" hidden="1" x14ac:dyDescent="0.2">
      <c r="B209" t="s">
        <v>257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f t="shared" si="18"/>
        <v>0</v>
      </c>
    </row>
    <row r="210" spans="2:12" hidden="1" x14ac:dyDescent="0.2">
      <c r="B210" t="s">
        <v>258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f t="shared" si="18"/>
        <v>0</v>
      </c>
    </row>
    <row r="211" spans="2:12" hidden="1" x14ac:dyDescent="0.2">
      <c r="B211" t="s">
        <v>259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f t="shared" si="18"/>
        <v>0</v>
      </c>
    </row>
    <row r="212" spans="2:12" hidden="1" x14ac:dyDescent="0.2">
      <c r="B212" t="s">
        <v>260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f t="shared" si="18"/>
        <v>0</v>
      </c>
    </row>
    <row r="213" spans="2:12" x14ac:dyDescent="0.2">
      <c r="L213" s="12"/>
    </row>
  </sheetData>
  <pageMargins left="0.7" right="0.7" top="0.75" bottom="0.75" header="0.3" footer="0.3"/>
  <pageSetup scale="70" orientation="portrait" r:id="rId1"/>
  <colBreaks count="1" manualBreakCount="1">
    <brk id="5" max="196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A705-F52F-4A2B-BE67-97F905D43CBD}">
  <sheetPr>
    <tabColor rgb="FFFF0000"/>
  </sheetPr>
  <dimension ref="A1:I85"/>
  <sheetViews>
    <sheetView showGridLines="0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62" customWidth="1"/>
    <col min="2" max="2" width="7.5703125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9.28515625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627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628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/>
      <c r="G7" s="90">
        <v>0</v>
      </c>
      <c r="H7" s="91">
        <v>0</v>
      </c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 t="s">
        <v>393</v>
      </c>
      <c r="G8" s="90">
        <v>0</v>
      </c>
      <c r="H8" s="91">
        <v>0</v>
      </c>
      <c r="I8" s="92"/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 t="s">
        <v>393</v>
      </c>
      <c r="G9" s="90">
        <v>0</v>
      </c>
      <c r="H9" s="91">
        <v>0</v>
      </c>
      <c r="I9" s="92"/>
    </row>
    <row r="10" spans="1:9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/>
      <c r="G10" s="90">
        <v>0</v>
      </c>
      <c r="H10" s="91">
        <v>0</v>
      </c>
      <c r="I10" s="92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 t="s">
        <v>393</v>
      </c>
      <c r="G11" s="90">
        <v>0</v>
      </c>
      <c r="H11" s="91">
        <v>0</v>
      </c>
      <c r="I11" s="92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 t="s">
        <v>393</v>
      </c>
      <c r="G12" s="90">
        <v>0</v>
      </c>
      <c r="H12" s="91">
        <v>0</v>
      </c>
      <c r="I12" s="92"/>
    </row>
    <row r="13" spans="1:9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 t="s">
        <v>393</v>
      </c>
      <c r="G13" s="90">
        <v>0</v>
      </c>
      <c r="H13" s="91">
        <v>0</v>
      </c>
      <c r="I13" s="92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 t="s">
        <v>393</v>
      </c>
      <c r="G14" s="90">
        <v>0</v>
      </c>
      <c r="H14" s="91">
        <v>0</v>
      </c>
      <c r="I14" s="92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 t="s">
        <v>393</v>
      </c>
      <c r="G15" s="90">
        <v>0</v>
      </c>
      <c r="H15" s="91">
        <v>0</v>
      </c>
      <c r="I15" s="92"/>
    </row>
    <row r="16" spans="1:9" hidden="1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 t="s">
        <v>393</v>
      </c>
      <c r="G16" s="90">
        <v>0</v>
      </c>
      <c r="H16" s="91">
        <v>0</v>
      </c>
      <c r="I16" s="92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 t="s">
        <v>393</v>
      </c>
      <c r="G17" s="90">
        <v>0</v>
      </c>
      <c r="H17" s="91">
        <v>0</v>
      </c>
      <c r="I17" s="92"/>
    </row>
    <row r="18" spans="1:9" hidden="1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 t="s">
        <v>393</v>
      </c>
      <c r="G18" s="90">
        <v>0</v>
      </c>
      <c r="H18" s="91">
        <v>0</v>
      </c>
      <c r="I18" s="92"/>
    </row>
    <row r="19" spans="1:9" hidden="1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 t="s">
        <v>393</v>
      </c>
      <c r="G19" s="90">
        <v>0</v>
      </c>
      <c r="H19" s="91">
        <v>0</v>
      </c>
      <c r="I19" s="92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1000000</v>
      </c>
      <c r="G20" s="90">
        <v>0</v>
      </c>
      <c r="H20" s="91">
        <v>0</v>
      </c>
      <c r="I20" s="92"/>
    </row>
    <row r="21" spans="1:9" hidden="1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/>
      <c r="G21" s="90">
        <v>0</v>
      </c>
      <c r="H21" s="91">
        <v>0</v>
      </c>
      <c r="I21" s="92"/>
    </row>
    <row r="22" spans="1:9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66000</v>
      </c>
      <c r="G22" s="90">
        <v>0</v>
      </c>
      <c r="H22" s="91">
        <v>0</v>
      </c>
      <c r="I22" s="92"/>
    </row>
    <row r="23" spans="1:9" hidden="1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/>
      <c r="G23" s="90">
        <v>0</v>
      </c>
      <c r="H23" s="91">
        <v>0</v>
      </c>
      <c r="I23" s="92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/>
      <c r="G24" s="90">
        <v>0</v>
      </c>
      <c r="H24" s="91">
        <v>0</v>
      </c>
      <c r="I24" s="92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/>
      <c r="G25" s="90">
        <v>0</v>
      </c>
      <c r="H25" s="91">
        <v>0</v>
      </c>
      <c r="I25" s="92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/>
      <c r="G26" s="90">
        <v>0</v>
      </c>
      <c r="H26" s="91">
        <v>0</v>
      </c>
      <c r="I26" s="92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/>
      <c r="G27" s="90">
        <v>0</v>
      </c>
      <c r="H27" s="91">
        <v>0</v>
      </c>
      <c r="I27" s="92"/>
    </row>
    <row r="28" spans="1:9" hidden="1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/>
      <c r="G28" s="90">
        <v>0</v>
      </c>
      <c r="H28" s="91">
        <v>0</v>
      </c>
      <c r="I28" s="92"/>
    </row>
    <row r="29" spans="1:9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>
        <v>60000</v>
      </c>
      <c r="G29" s="90">
        <v>0</v>
      </c>
      <c r="H29" s="91">
        <v>0</v>
      </c>
      <c r="I29" s="92"/>
    </row>
    <row r="30" spans="1:9" hidden="1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/>
      <c r="G30" s="90">
        <v>0</v>
      </c>
      <c r="H30" s="91">
        <v>0</v>
      </c>
      <c r="I30" s="92"/>
    </row>
    <row r="31" spans="1:9" hidden="1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/>
      <c r="G31" s="90">
        <v>0</v>
      </c>
      <c r="H31" s="91">
        <v>0</v>
      </c>
      <c r="I31" s="92"/>
    </row>
    <row r="32" spans="1:9" hidden="1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 t="s">
        <v>393</v>
      </c>
      <c r="G32" s="90">
        <v>0</v>
      </c>
      <c r="H32" s="91">
        <v>0</v>
      </c>
      <c r="I32" s="92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1126000</v>
      </c>
      <c r="G33" s="104">
        <f>SUM(G6:G32)</f>
        <v>0</v>
      </c>
      <c r="H33" s="106">
        <f>SUM(H6:H32)</f>
        <v>0</v>
      </c>
      <c r="I33" s="107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112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 t="s">
        <v>393</v>
      </c>
      <c r="G35" s="90">
        <v>0</v>
      </c>
      <c r="H35" s="91">
        <v>0</v>
      </c>
      <c r="I35" s="92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3638941.0677152243</v>
      </c>
      <c r="G36" s="90">
        <v>0</v>
      </c>
      <c r="H36" s="91">
        <v>0</v>
      </c>
      <c r="I36" s="12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 t="s">
        <v>393</v>
      </c>
      <c r="G37" s="90">
        <v>0</v>
      </c>
      <c r="H37" s="91">
        <v>0</v>
      </c>
      <c r="I37" s="92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405261.19616172719</v>
      </c>
      <c r="G38" s="90">
        <v>0</v>
      </c>
      <c r="H38" s="91">
        <v>0</v>
      </c>
      <c r="I38" s="12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9792.7599449632926</v>
      </c>
      <c r="G39" s="90">
        <v>0</v>
      </c>
      <c r="H39" s="91">
        <v>0</v>
      </c>
      <c r="I39" s="92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24291.30611513232</v>
      </c>
      <c r="G40" s="90">
        <v>0</v>
      </c>
      <c r="H40" s="91">
        <v>0</v>
      </c>
      <c r="I40" s="92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 t="s">
        <v>393</v>
      </c>
      <c r="G41" s="90">
        <v>0</v>
      </c>
      <c r="H41" s="91">
        <v>0</v>
      </c>
      <c r="I41" s="92"/>
    </row>
    <row r="42" spans="1:9" s="130" customFormat="1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 t="s">
        <v>393</v>
      </c>
      <c r="G42" s="306">
        <v>0</v>
      </c>
      <c r="H42" s="307">
        <v>0</v>
      </c>
      <c r="I42" s="129"/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 t="s">
        <v>393</v>
      </c>
      <c r="G43" s="90">
        <v>0</v>
      </c>
      <c r="H43" s="91">
        <v>0</v>
      </c>
      <c r="I43" s="92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963800</v>
      </c>
      <c r="G44" s="90">
        <v>0</v>
      </c>
      <c r="H44" s="91">
        <v>0</v>
      </c>
      <c r="I44" s="92"/>
    </row>
    <row r="45" spans="1:9" hidden="1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 t="s">
        <v>393</v>
      </c>
      <c r="G45" s="90">
        <v>0</v>
      </c>
      <c r="H45" s="91">
        <v>0</v>
      </c>
      <c r="I45" s="92"/>
    </row>
    <row r="46" spans="1:9" hidden="1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 t="s">
        <v>393</v>
      </c>
      <c r="G46" s="90">
        <v>0</v>
      </c>
      <c r="H46" s="91">
        <v>0</v>
      </c>
      <c r="I46" s="92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 t="s">
        <v>393</v>
      </c>
      <c r="G47" s="90">
        <v>0</v>
      </c>
      <c r="H47" s="91">
        <v>0</v>
      </c>
      <c r="I47" s="133"/>
    </row>
    <row r="48" spans="1:9" hidden="1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 t="s">
        <v>393</v>
      </c>
      <c r="G48" s="90">
        <v>0</v>
      </c>
      <c r="H48" s="91">
        <v>0</v>
      </c>
      <c r="I48" s="92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5042086.3299370464</v>
      </c>
      <c r="G49" s="104">
        <f>SUM(G34:G48)</f>
        <v>0</v>
      </c>
      <c r="H49" s="106">
        <f>SUM(H34:H48)</f>
        <v>0</v>
      </c>
      <c r="I49" s="107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112"/>
    </row>
    <row r="51" spans="1:9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60432</v>
      </c>
      <c r="G51" s="143">
        <v>0</v>
      </c>
      <c r="H51" s="111">
        <v>0</v>
      </c>
      <c r="I51" s="92"/>
    </row>
    <row r="52" spans="1:9" hidden="1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 t="s">
        <v>393</v>
      </c>
      <c r="G52" s="143">
        <v>0</v>
      </c>
      <c r="H52" s="111">
        <v>0</v>
      </c>
      <c r="I52" s="92"/>
    </row>
    <row r="53" spans="1:9" hidden="1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 t="s">
        <v>393</v>
      </c>
      <c r="G53" s="143">
        <v>0</v>
      </c>
      <c r="H53" s="111">
        <v>0</v>
      </c>
      <c r="I53" s="92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v>310882</v>
      </c>
      <c r="G54" s="143">
        <v>0</v>
      </c>
      <c r="H54" s="111">
        <v>0</v>
      </c>
      <c r="I54" s="92"/>
    </row>
    <row r="55" spans="1:9" hidden="1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 t="s">
        <v>393</v>
      </c>
      <c r="G55" s="143">
        <v>0</v>
      </c>
      <c r="H55" s="111">
        <v>0</v>
      </c>
      <c r="I55" s="92"/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 t="s">
        <v>393</v>
      </c>
      <c r="G56" s="143">
        <v>0</v>
      </c>
      <c r="H56" s="111">
        <v>0</v>
      </c>
      <c r="I56" s="92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371314</v>
      </c>
      <c r="G57" s="104">
        <f t="shared" si="0"/>
        <v>0</v>
      </c>
      <c r="H57" s="106">
        <f t="shared" si="0"/>
        <v>0</v>
      </c>
      <c r="I57" s="107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112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>
        <v>0</v>
      </c>
      <c r="G59" s="143">
        <v>0</v>
      </c>
      <c r="H59" s="111">
        <v>0</v>
      </c>
      <c r="I59" s="92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>
        <v>0</v>
      </c>
      <c r="G60" s="143">
        <v>0</v>
      </c>
      <c r="H60" s="111">
        <v>0</v>
      </c>
      <c r="I60" s="92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>
        <v>0</v>
      </c>
      <c r="G61" s="143">
        <v>0</v>
      </c>
      <c r="H61" s="111">
        <v>0</v>
      </c>
      <c r="I61" s="92"/>
    </row>
    <row r="62" spans="1:9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0</v>
      </c>
      <c r="G62" s="143">
        <v>0</v>
      </c>
      <c r="H62" s="111">
        <v>0</v>
      </c>
      <c r="I62" s="92"/>
    </row>
    <row r="63" spans="1:9" hidden="1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>
        <v>0</v>
      </c>
      <c r="G63" s="143">
        <v>0</v>
      </c>
      <c r="H63" s="111">
        <v>0</v>
      </c>
      <c r="I63" s="92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92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92"/>
    </row>
    <row r="66" spans="1:9" hidden="1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>
        <v>0</v>
      </c>
      <c r="G66" s="143">
        <v>0</v>
      </c>
      <c r="H66" s="111">
        <v>0</v>
      </c>
      <c r="I66" s="92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0</v>
      </c>
      <c r="G67" s="157">
        <f>SUM(G58:G66)</f>
        <v>0</v>
      </c>
      <c r="H67" s="159">
        <f>SUM(H58:H66)</f>
        <v>0</v>
      </c>
      <c r="I67" s="92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92"/>
    </row>
    <row r="69" spans="1:9" hidden="1" x14ac:dyDescent="0.2">
      <c r="A69" s="141"/>
      <c r="B69" s="142" t="s">
        <v>420</v>
      </c>
      <c r="C69" s="95"/>
      <c r="D69" s="143">
        <v>0</v>
      </c>
      <c r="E69" s="143">
        <v>0</v>
      </c>
      <c r="F69" s="144"/>
      <c r="G69" s="143">
        <v>0</v>
      </c>
      <c r="H69" s="111">
        <v>0</v>
      </c>
      <c r="I69" s="92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63668169</v>
      </c>
      <c r="G70" s="143">
        <v>0</v>
      </c>
      <c r="H70" s="111">
        <v>0</v>
      </c>
      <c r="I70" s="92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63668169</v>
      </c>
      <c r="G71" s="157">
        <f t="shared" si="1"/>
        <v>0</v>
      </c>
      <c r="H71" s="159">
        <f>SUM(H69:H70)</f>
        <v>0</v>
      </c>
      <c r="I71" s="92"/>
    </row>
    <row r="72" spans="1:9" hidden="1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92"/>
    </row>
    <row r="73" spans="1:9" hidden="1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92"/>
    </row>
    <row r="74" spans="1:9" ht="15.75" thickBot="1" x14ac:dyDescent="0.3">
      <c r="A74" s="169" t="s">
        <v>423</v>
      </c>
      <c r="B74" s="170"/>
      <c r="C74" s="171"/>
      <c r="D74" s="172">
        <f>'PCFP - All Revenue AA-1 R-7'!D33+'PCFP - All Revenue AA-1 R-7'!D49+'PCFP - All Revenue AA-1 R-7'!D57+'PCFP - All Revenue AA-1 R-7'!D71+'PCFP - All Revenue AA-1 R-7'!D67</f>
        <v>0</v>
      </c>
      <c r="E74" s="172">
        <f>'PCFP - All Revenue AA-1 R-7'!E33+'PCFP - All Revenue AA-1 R-7'!E49+'PCFP - All Revenue AA-1 R-7'!E57+'PCFP - All Revenue AA-1 R-7'!E71+'PCFP - All Revenue AA-1 R-7'!E67</f>
        <v>0</v>
      </c>
      <c r="F74" s="173">
        <f>'PCFP - All Revenue AA-1 R-7'!F33+'PCFP - All Revenue AA-1 R-7'!F49+'PCFP - All Revenue AA-1 R-7'!F57+'PCFP - All Revenue AA-1 R-7'!F71+'PCFP - All Revenue AA-1 R-7'!F67</f>
        <v>70207569.329937041</v>
      </c>
      <c r="G74" s="172">
        <f>'PCFP - All Revenue AA-1 R-7'!G33+'PCFP - All Revenue AA-1 R-7'!G49+'PCFP - All Revenue AA-1 R-7'!G57+'PCFP - All Revenue AA-1 R-7'!G71+'PCFP - All Revenue AA-1 R-7'!G67</f>
        <v>0</v>
      </c>
      <c r="H74" s="174">
        <f>'PCFP - All Revenue AA-1 R-7'!H33+'PCFP - All Revenue AA-1 R-7'!H49+'PCFP - All Revenue AA-1 R-7'!H57+'PCFP - All Revenue AA-1 R-7'!H71+'PCFP - All Revenue AA-1 R-7'!H67</f>
        <v>0</v>
      </c>
      <c r="I74" s="92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44"/>
      <c r="G75" s="143"/>
      <c r="H75" s="111">
        <v>0</v>
      </c>
      <c r="I75" s="92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44"/>
      <c r="G76" s="143"/>
      <c r="H76" s="111">
        <v>0</v>
      </c>
      <c r="I76" s="92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44"/>
      <c r="G77" s="143"/>
      <c r="H77" s="111">
        <v>0</v>
      </c>
      <c r="I77" s="92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92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7">
        <f t="shared" si="2"/>
        <v>0</v>
      </c>
      <c r="G79" s="187">
        <f t="shared" si="2"/>
        <v>0</v>
      </c>
      <c r="H79" s="187">
        <f>SUM(H75:H78)</f>
        <v>0</v>
      </c>
    </row>
    <row r="80" spans="1:9" x14ac:dyDescent="0.2">
      <c r="A80" s="189"/>
      <c r="B80" s="189"/>
      <c r="C80" s="190"/>
      <c r="D80" s="190"/>
      <c r="E80" s="190"/>
      <c r="F80" s="190"/>
      <c r="G80" s="190"/>
      <c r="H80" s="190"/>
    </row>
    <row r="81" spans="1:8" x14ac:dyDescent="0.2">
      <c r="A81" s="94"/>
      <c r="B81" s="94"/>
      <c r="C81" s="191" t="str">
        <f>C1</f>
        <v>Eureka County School District</v>
      </c>
      <c r="D81" s="190" t="s">
        <v>428</v>
      </c>
      <c r="E81" s="190"/>
      <c r="F81" s="195"/>
      <c r="G81" s="196"/>
      <c r="H81" s="190"/>
    </row>
    <row r="82" spans="1:8" x14ac:dyDescent="0.2">
      <c r="A82" s="98"/>
      <c r="B82" s="98"/>
      <c r="C82" s="193" t="s">
        <v>429</v>
      </c>
      <c r="D82" s="189" t="s">
        <v>430</v>
      </c>
      <c r="E82" s="190"/>
      <c r="F82" s="190"/>
      <c r="G82" s="192" t="str">
        <f>"Budget Fiscal Year "&amp;TEXT('[7]Form 1'!$C$136, "mm/dd/yy")</f>
        <v>Budget Fiscal Year 2019-2020</v>
      </c>
      <c r="H82" s="190"/>
    </row>
    <row r="83" spans="1:8" x14ac:dyDescent="0.2">
      <c r="A83" s="189"/>
      <c r="B83" s="189"/>
      <c r="C83" s="190"/>
      <c r="D83" s="190"/>
      <c r="E83" s="190"/>
      <c r="F83" s="194"/>
      <c r="G83" s="192" t="s">
        <v>431</v>
      </c>
      <c r="H83" s="197"/>
    </row>
    <row r="84" spans="1:8" x14ac:dyDescent="0.2">
      <c r="A84" s="189"/>
      <c r="B84" s="189"/>
      <c r="C84" s="190"/>
      <c r="D84" s="190"/>
      <c r="E84" s="190"/>
      <c r="H84" s="192"/>
    </row>
    <row r="85" spans="1:8" x14ac:dyDescent="0.2">
      <c r="A85" s="189"/>
      <c r="B85" s="189"/>
      <c r="C85" s="190"/>
      <c r="D85" s="190"/>
      <c r="E85" s="190"/>
      <c r="H85" s="192"/>
    </row>
  </sheetData>
  <pageMargins left="0.2" right="0.2" top="0.25" bottom="0.25" header="0.05" footer="0.05"/>
  <pageSetup paperSize="5" scale="67" fitToHeight="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9D384-F81B-4972-8029-03D32602F732}">
  <sheetPr>
    <tabColor rgb="FFFFFF00"/>
    <pageSetUpPr fitToPage="1"/>
  </sheetPr>
  <dimension ref="A1:L151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9.42578125" style="277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10.8554687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2463360</v>
      </c>
      <c r="D3" s="89">
        <v>1427525</v>
      </c>
      <c r="E3" s="89">
        <v>586535</v>
      </c>
      <c r="F3" s="89"/>
      <c r="G3" s="89" t="s">
        <v>452</v>
      </c>
      <c r="H3" s="89" t="s">
        <v>393</v>
      </c>
      <c r="I3" s="214">
        <v>0</v>
      </c>
      <c r="J3" s="89">
        <f>SUM(C3:I3)</f>
        <v>4477420</v>
      </c>
      <c r="K3" s="92"/>
    </row>
    <row r="4" spans="1:11" hidden="1" x14ac:dyDescent="0.2">
      <c r="A4" s="116">
        <v>200</v>
      </c>
      <c r="B4" s="95" t="s">
        <v>135</v>
      </c>
      <c r="C4" s="89" t="s">
        <v>393</v>
      </c>
      <c r="D4" s="89" t="s">
        <v>498</v>
      </c>
      <c r="E4" s="89" t="s">
        <v>450</v>
      </c>
      <c r="F4" s="89" t="s">
        <v>451</v>
      </c>
      <c r="G4" s="89" t="s">
        <v>452</v>
      </c>
      <c r="H4" s="89" t="s">
        <v>393</v>
      </c>
      <c r="I4" s="214">
        <v>0</v>
      </c>
      <c r="J4" s="89">
        <f t="shared" ref="J4:J67" si="0">SUM(C4:I4)</f>
        <v>0</v>
      </c>
      <c r="K4" s="92"/>
    </row>
    <row r="5" spans="1:11" hidden="1" x14ac:dyDescent="0.2">
      <c r="A5" s="210" t="s">
        <v>10</v>
      </c>
      <c r="B5" s="211" t="s">
        <v>136</v>
      </c>
      <c r="C5" s="89" t="s">
        <v>393</v>
      </c>
      <c r="D5" s="89" t="s">
        <v>498</v>
      </c>
      <c r="E5" s="89" t="s">
        <v>450</v>
      </c>
      <c r="F5" s="89" t="s">
        <v>451</v>
      </c>
      <c r="G5" s="89" t="s">
        <v>452</v>
      </c>
      <c r="H5" s="89" t="s">
        <v>393</v>
      </c>
      <c r="I5" s="214">
        <v>0</v>
      </c>
      <c r="J5" s="89">
        <f t="shared" si="0"/>
        <v>0</v>
      </c>
      <c r="K5" s="212"/>
    </row>
    <row r="6" spans="1:11" hidden="1" x14ac:dyDescent="0.2">
      <c r="A6" s="116">
        <v>270</v>
      </c>
      <c r="B6" s="95" t="s">
        <v>137</v>
      </c>
      <c r="C6" s="89" t="s">
        <v>393</v>
      </c>
      <c r="D6" s="89" t="s">
        <v>498</v>
      </c>
      <c r="E6" s="89" t="s">
        <v>450</v>
      </c>
      <c r="F6" s="89" t="s">
        <v>451</v>
      </c>
      <c r="G6" s="89" t="s">
        <v>452</v>
      </c>
      <c r="H6" s="89" t="s">
        <v>393</v>
      </c>
      <c r="I6" s="214">
        <v>0</v>
      </c>
      <c r="J6" s="89">
        <f t="shared" si="0"/>
        <v>0</v>
      </c>
      <c r="K6" s="92"/>
    </row>
    <row r="7" spans="1:11" hidden="1" x14ac:dyDescent="0.2">
      <c r="A7" s="210" t="s">
        <v>10</v>
      </c>
      <c r="B7" s="211" t="s">
        <v>138</v>
      </c>
      <c r="C7" s="89" t="s">
        <v>393</v>
      </c>
      <c r="D7" s="89" t="s">
        <v>498</v>
      </c>
      <c r="E7" s="89" t="s">
        <v>450</v>
      </c>
      <c r="F7" s="89" t="s">
        <v>451</v>
      </c>
      <c r="G7" s="89" t="s">
        <v>452</v>
      </c>
      <c r="H7" s="89" t="s">
        <v>393</v>
      </c>
      <c r="I7" s="214">
        <v>0</v>
      </c>
      <c r="J7" s="89">
        <f t="shared" si="0"/>
        <v>0</v>
      </c>
      <c r="K7" s="212"/>
    </row>
    <row r="8" spans="1:11" hidden="1" x14ac:dyDescent="0.2">
      <c r="A8" s="116">
        <v>300</v>
      </c>
      <c r="B8" s="95" t="s">
        <v>139</v>
      </c>
      <c r="C8" s="89" t="s">
        <v>393</v>
      </c>
      <c r="D8" s="89" t="s">
        <v>498</v>
      </c>
      <c r="E8" s="89" t="s">
        <v>450</v>
      </c>
      <c r="F8" s="89" t="s">
        <v>451</v>
      </c>
      <c r="G8" s="89" t="s">
        <v>452</v>
      </c>
      <c r="H8" s="89" t="s">
        <v>393</v>
      </c>
      <c r="I8" s="214">
        <v>0</v>
      </c>
      <c r="J8" s="89">
        <f t="shared" si="0"/>
        <v>0</v>
      </c>
      <c r="K8" s="92"/>
    </row>
    <row r="9" spans="1:11" hidden="1" x14ac:dyDescent="0.2">
      <c r="A9" s="116">
        <v>400</v>
      </c>
      <c r="B9" s="95" t="s">
        <v>140</v>
      </c>
      <c r="C9" s="89" t="s">
        <v>393</v>
      </c>
      <c r="D9" s="89" t="s">
        <v>498</v>
      </c>
      <c r="E9" s="89" t="s">
        <v>450</v>
      </c>
      <c r="F9" s="89" t="s">
        <v>451</v>
      </c>
      <c r="G9" s="89" t="s">
        <v>452</v>
      </c>
      <c r="H9" s="89" t="s">
        <v>393</v>
      </c>
      <c r="I9" s="214">
        <v>0</v>
      </c>
      <c r="J9" s="89">
        <f t="shared" si="0"/>
        <v>0</v>
      </c>
      <c r="K9" s="92"/>
    </row>
    <row r="10" spans="1:11" x14ac:dyDescent="0.2">
      <c r="A10" s="210" t="s">
        <v>10</v>
      </c>
      <c r="B10" s="211" t="s">
        <v>141</v>
      </c>
      <c r="C10" s="89">
        <v>198655</v>
      </c>
      <c r="D10" s="89">
        <v>101350</v>
      </c>
      <c r="E10" s="89">
        <v>125413</v>
      </c>
      <c r="F10" s="89" t="s">
        <v>451</v>
      </c>
      <c r="G10" s="89" t="s">
        <v>452</v>
      </c>
      <c r="H10" s="89" t="s">
        <v>393</v>
      </c>
      <c r="I10" s="214">
        <v>0</v>
      </c>
      <c r="J10" s="89">
        <f t="shared" si="0"/>
        <v>425418</v>
      </c>
      <c r="K10" s="212"/>
    </row>
    <row r="11" spans="1:11" hidden="1" x14ac:dyDescent="0.2">
      <c r="A11" s="210" t="s">
        <v>10</v>
      </c>
      <c r="B11" s="211" t="s">
        <v>142</v>
      </c>
      <c r="C11" s="89" t="s">
        <v>393</v>
      </c>
      <c r="D11" s="89" t="s">
        <v>498</v>
      </c>
      <c r="E11" s="89" t="s">
        <v>450</v>
      </c>
      <c r="F11" s="89" t="s">
        <v>451</v>
      </c>
      <c r="G11" s="89" t="s">
        <v>452</v>
      </c>
      <c r="H11" s="89" t="s">
        <v>393</v>
      </c>
      <c r="I11" s="214">
        <v>0</v>
      </c>
      <c r="J11" s="89">
        <f t="shared" si="0"/>
        <v>0</v>
      </c>
      <c r="K11" s="212"/>
    </row>
    <row r="12" spans="1:11" hidden="1" x14ac:dyDescent="0.2">
      <c r="A12" s="116">
        <v>440</v>
      </c>
      <c r="B12" s="95" t="s">
        <v>143</v>
      </c>
      <c r="C12" s="89" t="s">
        <v>393</v>
      </c>
      <c r="D12" s="89" t="s">
        <v>498</v>
      </c>
      <c r="E12" s="89" t="s">
        <v>450</v>
      </c>
      <c r="F12" s="89" t="s">
        <v>451</v>
      </c>
      <c r="G12" s="89" t="s">
        <v>452</v>
      </c>
      <c r="H12" s="89" t="s">
        <v>393</v>
      </c>
      <c r="I12" s="214">
        <v>0</v>
      </c>
      <c r="J12" s="89">
        <f t="shared" si="0"/>
        <v>0</v>
      </c>
      <c r="K12" s="92"/>
    </row>
    <row r="13" spans="1:11" hidden="1" x14ac:dyDescent="0.2">
      <c r="A13" s="116">
        <v>500</v>
      </c>
      <c r="B13" s="95" t="s">
        <v>144</v>
      </c>
      <c r="C13" s="89" t="s">
        <v>393</v>
      </c>
      <c r="D13" s="89" t="s">
        <v>498</v>
      </c>
      <c r="E13" s="89" t="s">
        <v>450</v>
      </c>
      <c r="F13" s="89" t="s">
        <v>451</v>
      </c>
      <c r="G13" s="89" t="s">
        <v>452</v>
      </c>
      <c r="H13" s="89" t="s">
        <v>393</v>
      </c>
      <c r="I13" s="214">
        <v>0</v>
      </c>
      <c r="J13" s="89">
        <f t="shared" si="0"/>
        <v>0</v>
      </c>
      <c r="K13" s="92"/>
    </row>
    <row r="14" spans="1:11" hidden="1" x14ac:dyDescent="0.2">
      <c r="A14" s="116">
        <v>600</v>
      </c>
      <c r="B14" s="95" t="s">
        <v>145</v>
      </c>
      <c r="C14" s="89" t="s">
        <v>393</v>
      </c>
      <c r="D14" s="89" t="s">
        <v>498</v>
      </c>
      <c r="E14" s="89" t="s">
        <v>450</v>
      </c>
      <c r="F14" s="89" t="s">
        <v>451</v>
      </c>
      <c r="G14" s="89" t="s">
        <v>452</v>
      </c>
      <c r="H14" s="89" t="s">
        <v>393</v>
      </c>
      <c r="I14" s="214">
        <v>0</v>
      </c>
      <c r="J14" s="89">
        <f t="shared" si="0"/>
        <v>0</v>
      </c>
      <c r="K14" s="92"/>
    </row>
    <row r="15" spans="1:11" hidden="1" x14ac:dyDescent="0.2">
      <c r="A15" s="116">
        <v>800</v>
      </c>
      <c r="B15" s="95" t="s">
        <v>146</v>
      </c>
      <c r="C15" s="89" t="s">
        <v>393</v>
      </c>
      <c r="D15" s="89" t="s">
        <v>498</v>
      </c>
      <c r="E15" s="89" t="s">
        <v>450</v>
      </c>
      <c r="F15" s="89" t="s">
        <v>451</v>
      </c>
      <c r="G15" s="89" t="s">
        <v>452</v>
      </c>
      <c r="H15" s="89" t="s">
        <v>393</v>
      </c>
      <c r="I15" s="214">
        <v>0</v>
      </c>
      <c r="J15" s="89">
        <f t="shared" si="0"/>
        <v>0</v>
      </c>
      <c r="K15" s="92"/>
    </row>
    <row r="16" spans="1:11" x14ac:dyDescent="0.2">
      <c r="A16" s="116">
        <v>910</v>
      </c>
      <c r="B16" s="95" t="s">
        <v>147</v>
      </c>
      <c r="C16" s="89">
        <v>150000</v>
      </c>
      <c r="D16" s="89">
        <v>8650</v>
      </c>
      <c r="E16" s="89">
        <v>176100</v>
      </c>
      <c r="F16" s="89" t="s">
        <v>451</v>
      </c>
      <c r="G16" s="89" t="s">
        <v>452</v>
      </c>
      <c r="H16" s="89" t="s">
        <v>393</v>
      </c>
      <c r="I16" s="214">
        <v>0</v>
      </c>
      <c r="J16" s="89">
        <f t="shared" si="0"/>
        <v>334750</v>
      </c>
      <c r="K16" s="92"/>
    </row>
    <row r="17" spans="1:11" x14ac:dyDescent="0.2">
      <c r="A17" s="116">
        <v>920</v>
      </c>
      <c r="B17" s="95" t="s">
        <v>148</v>
      </c>
      <c r="C17" s="89" t="s">
        <v>393</v>
      </c>
      <c r="D17" s="89" t="s">
        <v>498</v>
      </c>
      <c r="E17" s="89" t="s">
        <v>450</v>
      </c>
      <c r="F17" s="89" t="s">
        <v>451</v>
      </c>
      <c r="G17" s="89" t="s">
        <v>452</v>
      </c>
      <c r="H17" s="89" t="s">
        <v>393</v>
      </c>
      <c r="I17" s="214">
        <v>0</v>
      </c>
      <c r="J17" s="89">
        <f t="shared" si="0"/>
        <v>0</v>
      </c>
      <c r="K17" s="92"/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hidden="1" x14ac:dyDescent="0.25">
      <c r="A20" s="215" t="s">
        <v>443</v>
      </c>
      <c r="B20" s="216" t="s">
        <v>444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0</v>
      </c>
      <c r="K20" s="92"/>
    </row>
    <row r="21" spans="1:11" x14ac:dyDescent="0.2">
      <c r="A21" s="116">
        <v>2100</v>
      </c>
      <c r="B21" s="95" t="s">
        <v>151</v>
      </c>
      <c r="C21" s="89">
        <v>158400</v>
      </c>
      <c r="D21" s="89">
        <v>81930</v>
      </c>
      <c r="E21" s="89">
        <v>25600</v>
      </c>
      <c r="F21" s="89" t="s">
        <v>451</v>
      </c>
      <c r="G21" s="89" t="s">
        <v>452</v>
      </c>
      <c r="H21" s="89" t="s">
        <v>393</v>
      </c>
      <c r="I21" s="214">
        <v>0</v>
      </c>
      <c r="J21" s="89">
        <f t="shared" si="0"/>
        <v>265930</v>
      </c>
      <c r="K21" s="92"/>
    </row>
    <row r="22" spans="1:11" x14ac:dyDescent="0.2">
      <c r="A22" s="116">
        <v>2200</v>
      </c>
      <c r="B22" s="95" t="s">
        <v>152</v>
      </c>
      <c r="C22" s="89" t="s">
        <v>393</v>
      </c>
      <c r="D22" s="89" t="s">
        <v>498</v>
      </c>
      <c r="E22" s="89">
        <v>20750</v>
      </c>
      <c r="F22" s="89" t="s">
        <v>451</v>
      </c>
      <c r="G22" s="89" t="s">
        <v>452</v>
      </c>
      <c r="H22" s="89" t="s">
        <v>393</v>
      </c>
      <c r="I22" s="214">
        <v>0</v>
      </c>
      <c r="J22" s="89">
        <f t="shared" si="0"/>
        <v>20750</v>
      </c>
      <c r="K22" s="92"/>
    </row>
    <row r="23" spans="1:11" x14ac:dyDescent="0.2">
      <c r="A23" s="116">
        <v>2300</v>
      </c>
      <c r="B23" s="95" t="s">
        <v>153</v>
      </c>
      <c r="C23" s="89">
        <v>391000</v>
      </c>
      <c r="D23" s="89">
        <v>237450</v>
      </c>
      <c r="E23" s="89">
        <v>626900</v>
      </c>
      <c r="F23" s="89" t="s">
        <v>451</v>
      </c>
      <c r="G23" s="89" t="s">
        <v>452</v>
      </c>
      <c r="H23" s="89" t="s">
        <v>393</v>
      </c>
      <c r="I23" s="214">
        <v>0</v>
      </c>
      <c r="J23" s="89">
        <f t="shared" si="0"/>
        <v>1255350</v>
      </c>
      <c r="K23" s="92"/>
    </row>
    <row r="24" spans="1:11" x14ac:dyDescent="0.2">
      <c r="A24" s="116">
        <v>2400</v>
      </c>
      <c r="B24" s="95" t="s">
        <v>154</v>
      </c>
      <c r="C24" s="89">
        <v>384338</v>
      </c>
      <c r="D24" s="89">
        <v>174550</v>
      </c>
      <c r="E24" s="89">
        <v>25950</v>
      </c>
      <c r="F24" s="89" t="s">
        <v>451</v>
      </c>
      <c r="G24" s="89" t="s">
        <v>452</v>
      </c>
      <c r="H24" s="89" t="s">
        <v>393</v>
      </c>
      <c r="I24" s="214">
        <v>0</v>
      </c>
      <c r="J24" s="89">
        <f t="shared" si="0"/>
        <v>584838</v>
      </c>
      <c r="K24" s="92"/>
    </row>
    <row r="25" spans="1:11" x14ac:dyDescent="0.2">
      <c r="A25" s="116">
        <v>2500</v>
      </c>
      <c r="B25" s="95" t="s">
        <v>155</v>
      </c>
      <c r="C25" s="89">
        <v>130725</v>
      </c>
      <c r="D25" s="89">
        <v>80700</v>
      </c>
      <c r="E25" s="89">
        <v>212000</v>
      </c>
      <c r="F25" s="89" t="s">
        <v>451</v>
      </c>
      <c r="G25" s="89" t="s">
        <v>452</v>
      </c>
      <c r="H25" s="89" t="s">
        <v>393</v>
      </c>
      <c r="I25" s="214">
        <v>0</v>
      </c>
      <c r="J25" s="89">
        <f t="shared" si="0"/>
        <v>423425</v>
      </c>
      <c r="K25" s="92"/>
    </row>
    <row r="26" spans="1:11" x14ac:dyDescent="0.2">
      <c r="A26" s="116">
        <v>2600</v>
      </c>
      <c r="B26" s="95" t="s">
        <v>156</v>
      </c>
      <c r="C26" s="89">
        <v>445000</v>
      </c>
      <c r="D26" s="89">
        <v>256100</v>
      </c>
      <c r="E26" s="89">
        <v>798050</v>
      </c>
      <c r="F26" s="89" t="s">
        <v>451</v>
      </c>
      <c r="G26" s="89" t="s">
        <v>452</v>
      </c>
      <c r="H26" s="89" t="s">
        <v>393</v>
      </c>
      <c r="I26" s="214">
        <v>0</v>
      </c>
      <c r="J26" s="89">
        <f t="shared" si="0"/>
        <v>1499150</v>
      </c>
      <c r="K26" s="92"/>
    </row>
    <row r="27" spans="1:11" x14ac:dyDescent="0.2">
      <c r="A27" s="217">
        <v>2700</v>
      </c>
      <c r="B27" s="211" t="s">
        <v>157</v>
      </c>
      <c r="C27" s="89">
        <v>200000</v>
      </c>
      <c r="D27" s="89">
        <v>88400</v>
      </c>
      <c r="E27" s="89">
        <v>194400</v>
      </c>
      <c r="F27" s="89" t="s">
        <v>451</v>
      </c>
      <c r="G27" s="89" t="s">
        <v>452</v>
      </c>
      <c r="H27" s="89" t="s">
        <v>393</v>
      </c>
      <c r="I27" s="214">
        <v>0</v>
      </c>
      <c r="J27" s="89">
        <f t="shared" si="0"/>
        <v>482800</v>
      </c>
      <c r="K27" s="212"/>
    </row>
    <row r="28" spans="1:11" x14ac:dyDescent="0.2">
      <c r="A28" s="116">
        <v>2900</v>
      </c>
      <c r="B28" s="95" t="s">
        <v>158</v>
      </c>
      <c r="C28" s="89" t="s">
        <v>393</v>
      </c>
      <c r="D28" s="89">
        <v>25000</v>
      </c>
      <c r="E28" s="89" t="s">
        <v>450</v>
      </c>
      <c r="F28" s="89" t="s">
        <v>451</v>
      </c>
      <c r="G28" s="89" t="s">
        <v>452</v>
      </c>
      <c r="H28" s="89" t="s">
        <v>393</v>
      </c>
      <c r="I28" s="214">
        <v>0</v>
      </c>
      <c r="J28" s="89">
        <f t="shared" si="0"/>
        <v>25000</v>
      </c>
      <c r="K28" s="92"/>
    </row>
    <row r="29" spans="1:11" s="204" customFormat="1" ht="15" hidden="1" x14ac:dyDescent="0.25">
      <c r="A29" s="218">
        <v>3000</v>
      </c>
      <c r="B29" s="216" t="s">
        <v>159</v>
      </c>
      <c r="C29" s="89" t="s">
        <v>393</v>
      </c>
      <c r="D29" s="89" t="s">
        <v>498</v>
      </c>
      <c r="E29" s="89" t="s">
        <v>450</v>
      </c>
      <c r="F29" s="89" t="s">
        <v>451</v>
      </c>
      <c r="G29" s="89" t="s">
        <v>452</v>
      </c>
      <c r="H29" s="89" t="s">
        <v>393</v>
      </c>
      <c r="I29" s="214">
        <v>0</v>
      </c>
      <c r="J29" s="89">
        <f t="shared" si="0"/>
        <v>0</v>
      </c>
      <c r="K29" s="219"/>
    </row>
    <row r="30" spans="1:11" x14ac:dyDescent="0.2">
      <c r="A30" s="217">
        <v>3100</v>
      </c>
      <c r="B30" s="211" t="s">
        <v>160</v>
      </c>
      <c r="C30" s="89">
        <v>188500</v>
      </c>
      <c r="D30" s="89">
        <v>76800</v>
      </c>
      <c r="E30" s="89">
        <v>186300</v>
      </c>
      <c r="F30" s="89" t="s">
        <v>451</v>
      </c>
      <c r="G30" s="89" t="s">
        <v>452</v>
      </c>
      <c r="H30" s="89" t="s">
        <v>393</v>
      </c>
      <c r="I30" s="214">
        <v>0</v>
      </c>
      <c r="J30" s="89">
        <f t="shared" si="0"/>
        <v>451600</v>
      </c>
      <c r="K30" s="212"/>
    </row>
    <row r="31" spans="1:11" hidden="1" x14ac:dyDescent="0.2">
      <c r="A31" s="116">
        <v>3200</v>
      </c>
      <c r="B31" s="95" t="s">
        <v>161</v>
      </c>
      <c r="C31" s="89" t="s">
        <v>393</v>
      </c>
      <c r="D31" s="89" t="s">
        <v>498</v>
      </c>
      <c r="E31" s="89" t="s">
        <v>450</v>
      </c>
      <c r="F31" s="89" t="s">
        <v>451</v>
      </c>
      <c r="G31" s="89" t="s">
        <v>452</v>
      </c>
      <c r="H31" s="89" t="s">
        <v>393</v>
      </c>
      <c r="I31" s="214">
        <v>0</v>
      </c>
      <c r="J31" s="89">
        <f t="shared" si="0"/>
        <v>0</v>
      </c>
      <c r="K31" s="92"/>
    </row>
    <row r="32" spans="1:11" hidden="1" x14ac:dyDescent="0.2">
      <c r="A32" s="116">
        <v>3300</v>
      </c>
      <c r="B32" s="95" t="s">
        <v>162</v>
      </c>
      <c r="C32" s="89" t="s">
        <v>393</v>
      </c>
      <c r="D32" s="89" t="s">
        <v>498</v>
      </c>
      <c r="E32" s="89" t="s">
        <v>450</v>
      </c>
      <c r="F32" s="89" t="s">
        <v>451</v>
      </c>
      <c r="G32" s="89" t="s">
        <v>452</v>
      </c>
      <c r="H32" s="89" t="s">
        <v>393</v>
      </c>
      <c r="I32" s="214">
        <v>0</v>
      </c>
      <c r="J32" s="89">
        <f t="shared" si="0"/>
        <v>0</v>
      </c>
      <c r="K32" s="92"/>
    </row>
    <row r="33" spans="1:11" s="223" customFormat="1" hidden="1" x14ac:dyDescent="0.2">
      <c r="A33" s="220">
        <v>4100</v>
      </c>
      <c r="B33" s="221" t="s">
        <v>163</v>
      </c>
      <c r="C33" s="89" t="s">
        <v>393</v>
      </c>
      <c r="D33" s="89" t="s">
        <v>498</v>
      </c>
      <c r="E33" s="89" t="s">
        <v>450</v>
      </c>
      <c r="F33" s="89" t="s">
        <v>451</v>
      </c>
      <c r="G33" s="89" t="s">
        <v>452</v>
      </c>
      <c r="H33" s="89" t="s">
        <v>393</v>
      </c>
      <c r="I33" s="214">
        <v>0</v>
      </c>
      <c r="J33" s="89">
        <f t="shared" si="0"/>
        <v>0</v>
      </c>
      <c r="K33" s="222"/>
    </row>
    <row r="34" spans="1:11" s="225" customFormat="1" ht="15" hidden="1" x14ac:dyDescent="0.25">
      <c r="A34" s="220">
        <v>4000</v>
      </c>
      <c r="B34" s="221" t="s">
        <v>164</v>
      </c>
      <c r="C34" s="89" t="s">
        <v>393</v>
      </c>
      <c r="D34" s="89" t="s">
        <v>498</v>
      </c>
      <c r="E34" s="89" t="s">
        <v>450</v>
      </c>
      <c r="F34" s="89" t="s">
        <v>451</v>
      </c>
      <c r="G34" s="89" t="s">
        <v>452</v>
      </c>
      <c r="H34" s="89" t="s">
        <v>393</v>
      </c>
      <c r="I34" s="214">
        <v>0</v>
      </c>
      <c r="J34" s="89">
        <f t="shared" si="0"/>
        <v>0</v>
      </c>
      <c r="K34" s="224"/>
    </row>
    <row r="35" spans="1:11" s="223" customFormat="1" hidden="1" x14ac:dyDescent="0.2">
      <c r="A35" s="220">
        <v>4200</v>
      </c>
      <c r="B35" s="221" t="s">
        <v>165</v>
      </c>
      <c r="C35" s="89" t="s">
        <v>393</v>
      </c>
      <c r="D35" s="89" t="s">
        <v>498</v>
      </c>
      <c r="E35" s="89" t="s">
        <v>450</v>
      </c>
      <c r="F35" s="89" t="s">
        <v>451</v>
      </c>
      <c r="G35" s="89" t="s">
        <v>452</v>
      </c>
      <c r="H35" s="89" t="s">
        <v>393</v>
      </c>
      <c r="I35" s="214">
        <v>0</v>
      </c>
      <c r="J35" s="89">
        <f t="shared" si="0"/>
        <v>0</v>
      </c>
      <c r="K35" s="222"/>
    </row>
    <row r="36" spans="1:11" s="223" customFormat="1" hidden="1" x14ac:dyDescent="0.2">
      <c r="A36" s="220">
        <v>4300</v>
      </c>
      <c r="B36" s="221" t="s">
        <v>166</v>
      </c>
      <c r="C36" s="89" t="s">
        <v>393</v>
      </c>
      <c r="D36" s="89" t="s">
        <v>498</v>
      </c>
      <c r="E36" s="89" t="s">
        <v>450</v>
      </c>
      <c r="F36" s="89" t="s">
        <v>451</v>
      </c>
      <c r="G36" s="89" t="s">
        <v>452</v>
      </c>
      <c r="H36" s="89" t="s">
        <v>393</v>
      </c>
      <c r="I36" s="214">
        <v>0</v>
      </c>
      <c r="J36" s="89">
        <f t="shared" si="0"/>
        <v>0</v>
      </c>
      <c r="K36" s="222"/>
    </row>
    <row r="37" spans="1:11" s="223" customFormat="1" ht="28.5" hidden="1" x14ac:dyDescent="0.2">
      <c r="A37" s="220">
        <v>4400</v>
      </c>
      <c r="B37" s="221" t="s">
        <v>167</v>
      </c>
      <c r="C37" s="89" t="s">
        <v>393</v>
      </c>
      <c r="D37" s="89" t="s">
        <v>498</v>
      </c>
      <c r="E37" s="89" t="s">
        <v>450</v>
      </c>
      <c r="F37" s="89" t="s">
        <v>451</v>
      </c>
      <c r="G37" s="89" t="s">
        <v>452</v>
      </c>
      <c r="H37" s="89" t="s">
        <v>393</v>
      </c>
      <c r="I37" s="214">
        <v>0</v>
      </c>
      <c r="J37" s="89">
        <f t="shared" si="0"/>
        <v>0</v>
      </c>
      <c r="K37" s="222"/>
    </row>
    <row r="38" spans="1:11" s="223" customFormat="1" hidden="1" x14ac:dyDescent="0.2">
      <c r="A38" s="220">
        <v>4500</v>
      </c>
      <c r="B38" s="221" t="s">
        <v>168</v>
      </c>
      <c r="C38" s="89" t="s">
        <v>393</v>
      </c>
      <c r="D38" s="89" t="s">
        <v>498</v>
      </c>
      <c r="E38" s="89" t="s">
        <v>450</v>
      </c>
      <c r="F38" s="89" t="s">
        <v>451</v>
      </c>
      <c r="G38" s="89" t="s">
        <v>452</v>
      </c>
      <c r="H38" s="89" t="s">
        <v>393</v>
      </c>
      <c r="I38" s="214">
        <v>0</v>
      </c>
      <c r="J38" s="89">
        <f t="shared" si="0"/>
        <v>0</v>
      </c>
      <c r="K38" s="222"/>
    </row>
    <row r="39" spans="1:11" s="223" customFormat="1" hidden="1" x14ac:dyDescent="0.2">
      <c r="A39" s="220">
        <v>4600</v>
      </c>
      <c r="B39" s="221" t="s">
        <v>169</v>
      </c>
      <c r="C39" s="89" t="s">
        <v>393</v>
      </c>
      <c r="D39" s="89" t="s">
        <v>498</v>
      </c>
      <c r="E39" s="89" t="s">
        <v>450</v>
      </c>
      <c r="F39" s="89" t="s">
        <v>451</v>
      </c>
      <c r="G39" s="89" t="s">
        <v>452</v>
      </c>
      <c r="H39" s="89" t="s">
        <v>393</v>
      </c>
      <c r="I39" s="214">
        <v>0</v>
      </c>
      <c r="J39" s="89">
        <f t="shared" si="0"/>
        <v>0</v>
      </c>
      <c r="K39" s="222"/>
    </row>
    <row r="40" spans="1:11" s="223" customFormat="1" hidden="1" x14ac:dyDescent="0.2">
      <c r="A40" s="220">
        <v>4700</v>
      </c>
      <c r="B40" s="221" t="s">
        <v>170</v>
      </c>
      <c r="C40" s="89"/>
      <c r="D40" s="89"/>
      <c r="E40" s="89"/>
      <c r="F40" s="89"/>
      <c r="G40" s="89"/>
      <c r="H40" s="89"/>
      <c r="I40" s="214">
        <v>0</v>
      </c>
      <c r="J40" s="89">
        <f t="shared" si="0"/>
        <v>0</v>
      </c>
      <c r="K40" s="222"/>
    </row>
    <row r="41" spans="1:11" s="223" customFormat="1" hidden="1" x14ac:dyDescent="0.2">
      <c r="A41" s="220">
        <v>4900</v>
      </c>
      <c r="B41" s="221" t="s">
        <v>171</v>
      </c>
      <c r="C41" s="89" t="s">
        <v>393</v>
      </c>
      <c r="D41" s="89" t="s">
        <v>498</v>
      </c>
      <c r="E41" s="89" t="s">
        <v>450</v>
      </c>
      <c r="F41" s="89" t="s">
        <v>451</v>
      </c>
      <c r="G41" s="89" t="s">
        <v>452</v>
      </c>
      <c r="H41" s="89" t="s">
        <v>393</v>
      </c>
      <c r="I41" s="214">
        <v>0</v>
      </c>
      <c r="J41" s="89">
        <f t="shared" si="0"/>
        <v>0</v>
      </c>
      <c r="K41" s="222"/>
    </row>
    <row r="42" spans="1:11" hidden="1" x14ac:dyDescent="0.2">
      <c r="A42" s="220">
        <v>5000</v>
      </c>
      <c r="B42" s="226" t="s">
        <v>172</v>
      </c>
      <c r="C42" s="89" t="s">
        <v>393</v>
      </c>
      <c r="D42" s="89" t="s">
        <v>498</v>
      </c>
      <c r="E42" s="89" t="s">
        <v>450</v>
      </c>
      <c r="F42" s="89" t="s">
        <v>451</v>
      </c>
      <c r="G42" s="89" t="s">
        <v>452</v>
      </c>
      <c r="H42" s="89" t="s">
        <v>393</v>
      </c>
      <c r="I42" s="214">
        <v>0</v>
      </c>
      <c r="J42" s="89">
        <f t="shared" si="0"/>
        <v>0</v>
      </c>
      <c r="K42" s="92"/>
    </row>
    <row r="43" spans="1:11" hidden="1" x14ac:dyDescent="0.2">
      <c r="A43" s="220">
        <v>5000</v>
      </c>
      <c r="B43" s="226" t="s">
        <v>173</v>
      </c>
      <c r="C43" s="89" t="s">
        <v>393</v>
      </c>
      <c r="D43" s="89" t="s">
        <v>498</v>
      </c>
      <c r="E43" s="89" t="s">
        <v>450</v>
      </c>
      <c r="F43" s="89" t="s">
        <v>451</v>
      </c>
      <c r="G43" s="89" t="s">
        <v>452</v>
      </c>
      <c r="H43" s="89" t="s">
        <v>393</v>
      </c>
      <c r="I43" s="214">
        <v>0</v>
      </c>
      <c r="J43" s="89">
        <f t="shared" si="0"/>
        <v>0</v>
      </c>
      <c r="K43" s="92"/>
    </row>
    <row r="44" spans="1:11" hidden="1" x14ac:dyDescent="0.2">
      <c r="A44" s="220">
        <v>6100</v>
      </c>
      <c r="B44" s="226" t="s">
        <v>174</v>
      </c>
      <c r="C44" s="89" t="s">
        <v>393</v>
      </c>
      <c r="D44" s="89" t="s">
        <v>498</v>
      </c>
      <c r="E44" s="89" t="s">
        <v>450</v>
      </c>
      <c r="F44" s="89" t="s">
        <v>451</v>
      </c>
      <c r="G44" s="89" t="s">
        <v>452</v>
      </c>
      <c r="H44" s="89" t="s">
        <v>393</v>
      </c>
      <c r="I44" s="214">
        <v>0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89"/>
      <c r="D45" s="89"/>
      <c r="E45" s="89"/>
      <c r="F45" s="89">
        <v>5200000</v>
      </c>
      <c r="G45" s="89" t="s">
        <v>452</v>
      </c>
      <c r="H45" s="89" t="s">
        <v>393</v>
      </c>
      <c r="I45" s="214">
        <v>0</v>
      </c>
      <c r="J45" s="89">
        <f t="shared" si="0"/>
        <v>5200000</v>
      </c>
      <c r="K45" s="92"/>
    </row>
    <row r="46" spans="1:11" x14ac:dyDescent="0.2">
      <c r="A46" s="116">
        <v>6300</v>
      </c>
      <c r="B46" s="95" t="s">
        <v>176</v>
      </c>
      <c r="C46" s="89" t="s">
        <v>393</v>
      </c>
      <c r="D46" s="89" t="s">
        <v>498</v>
      </c>
      <c r="E46" s="89" t="s">
        <v>450</v>
      </c>
      <c r="F46" s="89" t="s">
        <v>451</v>
      </c>
      <c r="G46" s="89">
        <v>150000</v>
      </c>
      <c r="H46" s="89" t="s">
        <v>393</v>
      </c>
      <c r="I46" s="214">
        <v>0</v>
      </c>
      <c r="J46" s="89">
        <f t="shared" si="0"/>
        <v>150000</v>
      </c>
      <c r="K46" s="92"/>
    </row>
    <row r="47" spans="1:11" x14ac:dyDescent="0.2">
      <c r="A47" s="116">
        <v>8000</v>
      </c>
      <c r="B47" s="227" t="s">
        <v>177</v>
      </c>
      <c r="C47" s="89"/>
      <c r="D47" s="89"/>
      <c r="E47" s="89"/>
      <c r="F47" s="89"/>
      <c r="G47" s="89"/>
      <c r="H47" s="89">
        <v>21483050</v>
      </c>
      <c r="I47" s="214">
        <v>0</v>
      </c>
      <c r="J47" s="89">
        <f t="shared" si="0"/>
        <v>21483050</v>
      </c>
      <c r="K47" s="92"/>
    </row>
    <row r="48" spans="1:11" hidden="1" x14ac:dyDescent="0.2">
      <c r="A48" s="116"/>
      <c r="B48" s="227" t="s">
        <v>445</v>
      </c>
      <c r="C48" s="89" t="s">
        <v>393</v>
      </c>
      <c r="D48" s="89" t="s">
        <v>498</v>
      </c>
      <c r="E48" s="89" t="s">
        <v>450</v>
      </c>
      <c r="F48" s="89" t="s">
        <v>451</v>
      </c>
      <c r="G48" s="89" t="s">
        <v>452</v>
      </c>
      <c r="H48" s="89" t="s">
        <v>393</v>
      </c>
      <c r="I48" s="214">
        <v>0</v>
      </c>
      <c r="J48" s="89">
        <f t="shared" si="0"/>
        <v>0</v>
      </c>
      <c r="K48" s="92"/>
    </row>
    <row r="49" spans="1:11" x14ac:dyDescent="0.2">
      <c r="A49" s="229"/>
      <c r="B49" s="100" t="s">
        <v>446</v>
      </c>
      <c r="C49" s="89" t="s">
        <v>393</v>
      </c>
      <c r="D49" s="89" t="s">
        <v>498</v>
      </c>
      <c r="E49" s="89" t="s">
        <v>450</v>
      </c>
      <c r="F49" s="89" t="s">
        <v>451</v>
      </c>
      <c r="G49" s="89" t="s">
        <v>452</v>
      </c>
      <c r="H49" s="89">
        <v>3389803</v>
      </c>
      <c r="I49" s="214">
        <v>0</v>
      </c>
      <c r="J49" s="89">
        <f t="shared" si="0"/>
        <v>3389803</v>
      </c>
      <c r="K49" s="92"/>
    </row>
    <row r="50" spans="1:11" ht="15" thickBot="1" x14ac:dyDescent="0.25">
      <c r="A50" s="230"/>
      <c r="B50" s="231" t="s">
        <v>255</v>
      </c>
      <c r="C50" s="232" t="s">
        <v>393</v>
      </c>
      <c r="D50" s="232" t="s">
        <v>498</v>
      </c>
      <c r="E50" s="232" t="s">
        <v>450</v>
      </c>
      <c r="F50" s="232" t="s">
        <v>451</v>
      </c>
      <c r="G50" s="232" t="s">
        <v>452</v>
      </c>
      <c r="H50" s="232" t="s">
        <v>393</v>
      </c>
      <c r="I50" s="316">
        <v>0</v>
      </c>
      <c r="J50" s="232">
        <f t="shared" si="0"/>
        <v>0</v>
      </c>
      <c r="K50" s="233"/>
    </row>
    <row r="51" spans="1:11" ht="15.75" thickBot="1" x14ac:dyDescent="0.3">
      <c r="A51" s="234"/>
      <c r="B51" s="235" t="s">
        <v>447</v>
      </c>
      <c r="C51" s="236">
        <f>SUM(C2:C50)</f>
        <v>4709978</v>
      </c>
      <c r="D51" s="236">
        <f>SUM(D2:D50)</f>
        <v>2558455</v>
      </c>
      <c r="E51" s="236">
        <f>SUM(E2:E50)</f>
        <v>2977998</v>
      </c>
      <c r="F51" s="236">
        <f t="shared" ref="F51:I51" si="1">SUM(F2:F50)</f>
        <v>5200000</v>
      </c>
      <c r="G51" s="236">
        <f t="shared" si="1"/>
        <v>150000</v>
      </c>
      <c r="H51" s="236">
        <f t="shared" si="1"/>
        <v>24872853</v>
      </c>
      <c r="I51" s="237">
        <f t="shared" si="1"/>
        <v>0</v>
      </c>
      <c r="J51" s="236">
        <f t="shared" si="0"/>
        <v>40469284</v>
      </c>
      <c r="K51" s="239"/>
    </row>
    <row r="52" spans="1:11" ht="15" x14ac:dyDescent="0.25">
      <c r="A52" s="218" t="s">
        <v>448</v>
      </c>
      <c r="B52" s="95"/>
      <c r="C52" s="240">
        <v>0</v>
      </c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241">
        <v>0</v>
      </c>
      <c r="J52" s="144">
        <f t="shared" si="0"/>
        <v>0</v>
      </c>
      <c r="K52" s="112"/>
    </row>
    <row r="53" spans="1:11" ht="15.75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233"/>
    </row>
    <row r="54" spans="1:11" ht="20.25" customHeight="1" thickBot="1" x14ac:dyDescent="0.3">
      <c r="A54" s="245" t="s">
        <v>454</v>
      </c>
      <c r="B54" s="246"/>
      <c r="C54" s="247">
        <f>SUM(C51:C53)</f>
        <v>4709978</v>
      </c>
      <c r="D54" s="247">
        <f t="shared" ref="D54:H54" si="2">SUM(D51:D53)</f>
        <v>2558455</v>
      </c>
      <c r="E54" s="247">
        <f t="shared" si="2"/>
        <v>2977998</v>
      </c>
      <c r="F54" s="247">
        <f t="shared" si="2"/>
        <v>5200000</v>
      </c>
      <c r="G54" s="247">
        <f t="shared" si="2"/>
        <v>150000</v>
      </c>
      <c r="H54" s="247">
        <f t="shared" si="2"/>
        <v>24872853</v>
      </c>
      <c r="I54" s="248">
        <f>SUM(I51:I53)</f>
        <v>0</v>
      </c>
      <c r="J54" s="236">
        <f>SUM(C54:I54)</f>
        <v>40469284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hidden="1" x14ac:dyDescent="0.25">
      <c r="A56" s="116"/>
      <c r="B56" s="95" t="s">
        <v>179</v>
      </c>
      <c r="C56" s="369">
        <v>0</v>
      </c>
      <c r="D56" s="369">
        <v>0</v>
      </c>
      <c r="E56" s="369">
        <v>0</v>
      </c>
      <c r="F56" s="369">
        <v>0</v>
      </c>
      <c r="G56" s="369">
        <v>0</v>
      </c>
      <c r="H56" s="369">
        <v>0</v>
      </c>
      <c r="I56" s="214">
        <v>0</v>
      </c>
      <c r="J56" s="89">
        <f t="shared" si="0"/>
        <v>0</v>
      </c>
      <c r="K56" s="249"/>
    </row>
    <row r="57" spans="1:11" ht="15" hidden="1" x14ac:dyDescent="0.25">
      <c r="A57" s="116"/>
      <c r="B57" s="95" t="s">
        <v>145</v>
      </c>
      <c r="C57" s="369">
        <v>0</v>
      </c>
      <c r="D57" s="369">
        <v>0</v>
      </c>
      <c r="E57" s="369">
        <v>0</v>
      </c>
      <c r="F57" s="369">
        <v>0</v>
      </c>
      <c r="G57" s="369">
        <v>0</v>
      </c>
      <c r="H57" s="369">
        <v>0</v>
      </c>
      <c r="I57" s="214">
        <v>0</v>
      </c>
      <c r="J57" s="89">
        <f t="shared" si="0"/>
        <v>0</v>
      </c>
      <c r="K57" s="249"/>
    </row>
    <row r="58" spans="1:11" ht="15" hidden="1" x14ac:dyDescent="0.25">
      <c r="A58" s="116"/>
      <c r="B58" s="95" t="s">
        <v>180</v>
      </c>
      <c r="C58" s="369">
        <v>0</v>
      </c>
      <c r="D58" s="369">
        <v>0</v>
      </c>
      <c r="E58" s="369">
        <v>0</v>
      </c>
      <c r="F58" s="369">
        <v>0</v>
      </c>
      <c r="G58" s="369">
        <v>0</v>
      </c>
      <c r="H58" s="369">
        <v>0</v>
      </c>
      <c r="I58" s="214">
        <v>0</v>
      </c>
      <c r="J58" s="89">
        <f t="shared" si="0"/>
        <v>0</v>
      </c>
      <c r="K58" s="249"/>
    </row>
    <row r="59" spans="1:11" ht="15" hidden="1" x14ac:dyDescent="0.25">
      <c r="A59" s="116"/>
      <c r="B59" s="95" t="s">
        <v>181</v>
      </c>
      <c r="C59" s="369">
        <v>0</v>
      </c>
      <c r="D59" s="369">
        <v>0</v>
      </c>
      <c r="E59" s="369">
        <v>0</v>
      </c>
      <c r="F59" s="369">
        <v>0</v>
      </c>
      <c r="G59" s="369">
        <v>0</v>
      </c>
      <c r="H59" s="369">
        <v>0</v>
      </c>
      <c r="I59" s="214">
        <v>0</v>
      </c>
      <c r="J59" s="89">
        <f t="shared" si="0"/>
        <v>0</v>
      </c>
      <c r="K59" s="249"/>
    </row>
    <row r="60" spans="1:11" ht="15" hidden="1" x14ac:dyDescent="0.25">
      <c r="A60" s="116"/>
      <c r="B60" s="95" t="s">
        <v>182</v>
      </c>
      <c r="C60" s="369">
        <v>0</v>
      </c>
      <c r="D60" s="369">
        <v>0</v>
      </c>
      <c r="E60" s="369">
        <v>0</v>
      </c>
      <c r="F60" s="369">
        <v>0</v>
      </c>
      <c r="G60" s="369">
        <v>0</v>
      </c>
      <c r="H60" s="369">
        <v>0</v>
      </c>
      <c r="I60" s="214">
        <v>0</v>
      </c>
      <c r="J60" s="89">
        <f t="shared" si="0"/>
        <v>0</v>
      </c>
      <c r="K60" s="249"/>
    </row>
    <row r="61" spans="1:11" ht="15" hidden="1" x14ac:dyDescent="0.25">
      <c r="A61" s="251"/>
      <c r="B61" s="100" t="s">
        <v>183</v>
      </c>
      <c r="C61" s="369">
        <v>0</v>
      </c>
      <c r="D61" s="369">
        <v>0</v>
      </c>
      <c r="E61" s="369">
        <v>0</v>
      </c>
      <c r="F61" s="369">
        <v>0</v>
      </c>
      <c r="G61" s="369">
        <v>0</v>
      </c>
      <c r="H61" s="369">
        <v>0</v>
      </c>
      <c r="I61" s="214">
        <v>0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184</v>
      </c>
      <c r="C62" s="369">
        <v>0</v>
      </c>
      <c r="D62" s="369">
        <v>0</v>
      </c>
      <c r="E62" s="369"/>
      <c r="F62" s="369">
        <v>0</v>
      </c>
      <c r="G62" s="369">
        <v>0</v>
      </c>
      <c r="H62" s="369"/>
      <c r="I62" s="214">
        <v>0</v>
      </c>
      <c r="J62" s="89">
        <f t="shared" si="0"/>
        <v>0</v>
      </c>
      <c r="K62" s="249"/>
    </row>
    <row r="63" spans="1:11" ht="15" x14ac:dyDescent="0.25">
      <c r="A63" s="251"/>
      <c r="B63" s="100" t="s">
        <v>185</v>
      </c>
      <c r="C63" s="369">
        <v>0</v>
      </c>
      <c r="D63" s="369">
        <v>0</v>
      </c>
      <c r="E63" s="369">
        <v>295000</v>
      </c>
      <c r="F63" s="369">
        <v>0</v>
      </c>
      <c r="G63" s="369">
        <v>0</v>
      </c>
      <c r="H63" s="369">
        <v>294683</v>
      </c>
      <c r="I63" s="214">
        <v>0</v>
      </c>
      <c r="J63" s="89">
        <f t="shared" si="0"/>
        <v>589683</v>
      </c>
      <c r="K63" s="249"/>
    </row>
    <row r="64" spans="1:11" ht="15" hidden="1" x14ac:dyDescent="0.25">
      <c r="A64" s="251"/>
      <c r="B64" s="100" t="s">
        <v>186</v>
      </c>
      <c r="C64" s="369">
        <v>0</v>
      </c>
      <c r="D64" s="369">
        <v>0</v>
      </c>
      <c r="E64" s="369">
        <v>0</v>
      </c>
      <c r="F64" s="369">
        <v>0</v>
      </c>
      <c r="G64" s="369">
        <v>0</v>
      </c>
      <c r="H64" s="369">
        <v>0</v>
      </c>
      <c r="I64" s="214">
        <v>0</v>
      </c>
      <c r="J64" s="89">
        <f t="shared" si="0"/>
        <v>0</v>
      </c>
      <c r="K64" s="249"/>
    </row>
    <row r="65" spans="1:11" ht="15" hidden="1" x14ac:dyDescent="0.25">
      <c r="A65" s="251"/>
      <c r="B65" s="100" t="s">
        <v>187</v>
      </c>
      <c r="C65" s="369">
        <v>0</v>
      </c>
      <c r="D65" s="369">
        <v>0</v>
      </c>
      <c r="E65" s="369"/>
      <c r="F65" s="369">
        <v>0</v>
      </c>
      <c r="G65" s="369">
        <v>0</v>
      </c>
      <c r="H65" s="369">
        <v>0</v>
      </c>
      <c r="I65" s="214">
        <v>0</v>
      </c>
      <c r="J65" s="89">
        <f t="shared" si="0"/>
        <v>0</v>
      </c>
      <c r="K65" s="249"/>
    </row>
    <row r="66" spans="1:11" ht="15" x14ac:dyDescent="0.25">
      <c r="A66" s="251"/>
      <c r="B66" s="100" t="s">
        <v>188</v>
      </c>
      <c r="C66" s="369">
        <v>0</v>
      </c>
      <c r="D66" s="369">
        <v>0</v>
      </c>
      <c r="E66" s="369">
        <v>5245000</v>
      </c>
      <c r="F66" s="369">
        <v>0</v>
      </c>
      <c r="G66" s="369">
        <v>0</v>
      </c>
      <c r="H66" s="369">
        <v>1899774</v>
      </c>
      <c r="I66" s="214">
        <v>0</v>
      </c>
      <c r="J66" s="89">
        <f t="shared" si="0"/>
        <v>7144774</v>
      </c>
      <c r="K66" s="249"/>
    </row>
    <row r="67" spans="1:11" ht="15" hidden="1" x14ac:dyDescent="0.25">
      <c r="A67" s="251"/>
      <c r="B67" s="100" t="s">
        <v>189</v>
      </c>
      <c r="C67" s="369">
        <v>0</v>
      </c>
      <c r="D67" s="369">
        <v>0</v>
      </c>
      <c r="E67" s="369">
        <v>0</v>
      </c>
      <c r="F67" s="369">
        <v>0</v>
      </c>
      <c r="G67" s="369">
        <v>0</v>
      </c>
      <c r="H67" s="369">
        <v>0</v>
      </c>
      <c r="I67" s="214">
        <v>0</v>
      </c>
      <c r="J67" s="89">
        <f t="shared" si="0"/>
        <v>0</v>
      </c>
      <c r="K67" s="249"/>
    </row>
    <row r="68" spans="1:11" ht="15" hidden="1" x14ac:dyDescent="0.25">
      <c r="A68" s="116"/>
      <c r="B68" s="95" t="s">
        <v>190</v>
      </c>
      <c r="C68" s="369">
        <v>0</v>
      </c>
      <c r="D68" s="369">
        <v>0</v>
      </c>
      <c r="E68" s="369">
        <v>0</v>
      </c>
      <c r="F68" s="369">
        <v>0</v>
      </c>
      <c r="G68" s="369">
        <v>0</v>
      </c>
      <c r="H68" s="369">
        <v>0</v>
      </c>
      <c r="I68" s="214">
        <v>0</v>
      </c>
      <c r="J68" s="89">
        <f t="shared" ref="J68:J131" si="3">SUM(C68:I68)</f>
        <v>0</v>
      </c>
      <c r="K68" s="249"/>
    </row>
    <row r="69" spans="1:11" ht="15" hidden="1" x14ac:dyDescent="0.25">
      <c r="A69" s="116"/>
      <c r="B69" s="95" t="s">
        <v>191</v>
      </c>
      <c r="C69" s="369">
        <v>0</v>
      </c>
      <c r="D69" s="369">
        <v>0</v>
      </c>
      <c r="E69" s="369">
        <v>0</v>
      </c>
      <c r="F69" s="369">
        <v>0</v>
      </c>
      <c r="G69" s="369">
        <v>0</v>
      </c>
      <c r="H69" s="369">
        <v>0</v>
      </c>
      <c r="I69" s="214">
        <v>0</v>
      </c>
      <c r="J69" s="89">
        <f t="shared" si="3"/>
        <v>0</v>
      </c>
      <c r="K69" s="249"/>
    </row>
    <row r="70" spans="1:11" ht="15" hidden="1" x14ac:dyDescent="0.25">
      <c r="A70" s="116"/>
      <c r="B70" s="95" t="s">
        <v>192</v>
      </c>
      <c r="C70" s="369">
        <v>0</v>
      </c>
      <c r="D70" s="369">
        <v>0</v>
      </c>
      <c r="E70" s="369">
        <v>0</v>
      </c>
      <c r="F70" s="369">
        <v>0</v>
      </c>
      <c r="G70" s="369">
        <v>0</v>
      </c>
      <c r="H70" s="369">
        <v>0</v>
      </c>
      <c r="I70" s="214">
        <v>0</v>
      </c>
      <c r="J70" s="89">
        <f t="shared" si="3"/>
        <v>0</v>
      </c>
      <c r="K70" s="249"/>
    </row>
    <row r="71" spans="1:11" ht="15" hidden="1" x14ac:dyDescent="0.25">
      <c r="A71" s="116"/>
      <c r="B71" s="95" t="s">
        <v>193</v>
      </c>
      <c r="C71" s="369">
        <v>0</v>
      </c>
      <c r="D71" s="369">
        <v>0</v>
      </c>
      <c r="E71" s="369">
        <v>0</v>
      </c>
      <c r="F71" s="369">
        <v>0</v>
      </c>
      <c r="G71" s="369">
        <v>0</v>
      </c>
      <c r="H71" s="36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369">
        <v>0</v>
      </c>
      <c r="D72" s="369">
        <v>0</v>
      </c>
      <c r="E72" s="369">
        <v>0</v>
      </c>
      <c r="F72" s="369">
        <v>0</v>
      </c>
      <c r="G72" s="369">
        <v>0</v>
      </c>
      <c r="H72" s="36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369">
        <v>0</v>
      </c>
      <c r="D73" s="369">
        <v>0</v>
      </c>
      <c r="E73" s="369">
        <v>0</v>
      </c>
      <c r="F73" s="369">
        <v>0</v>
      </c>
      <c r="G73" s="369">
        <v>0</v>
      </c>
      <c r="H73" s="36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369">
        <v>0</v>
      </c>
      <c r="D74" s="369">
        <v>0</v>
      </c>
      <c r="E74" s="369">
        <v>0</v>
      </c>
      <c r="F74" s="369">
        <v>0</v>
      </c>
      <c r="G74" s="369">
        <v>0</v>
      </c>
      <c r="H74" s="36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369">
        <v>0</v>
      </c>
      <c r="D75" s="369">
        <v>0</v>
      </c>
      <c r="E75" s="369">
        <v>0</v>
      </c>
      <c r="F75" s="369">
        <v>0</v>
      </c>
      <c r="G75" s="369">
        <v>0</v>
      </c>
      <c r="H75" s="369">
        <v>0</v>
      </c>
      <c r="I75" s="214">
        <v>0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198</v>
      </c>
      <c r="C76" s="369">
        <v>0</v>
      </c>
      <c r="D76" s="369">
        <v>0</v>
      </c>
      <c r="E76" s="369">
        <v>0</v>
      </c>
      <c r="F76" s="369">
        <v>0</v>
      </c>
      <c r="G76" s="369">
        <v>0</v>
      </c>
      <c r="H76" s="369">
        <v>0</v>
      </c>
      <c r="I76" s="214">
        <v>0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199</v>
      </c>
      <c r="C77" s="369">
        <v>0</v>
      </c>
      <c r="D77" s="369">
        <v>0</v>
      </c>
      <c r="E77" s="369">
        <v>0</v>
      </c>
      <c r="F77" s="369">
        <v>0</v>
      </c>
      <c r="G77" s="369">
        <v>0</v>
      </c>
      <c r="H77" s="36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200</v>
      </c>
      <c r="C78" s="369">
        <v>0</v>
      </c>
      <c r="D78" s="369">
        <v>0</v>
      </c>
      <c r="E78" s="369">
        <v>0</v>
      </c>
      <c r="F78" s="369">
        <v>0</v>
      </c>
      <c r="G78" s="369">
        <v>0</v>
      </c>
      <c r="H78" s="36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201</v>
      </c>
      <c r="C79" s="369">
        <v>0</v>
      </c>
      <c r="D79" s="369">
        <v>0</v>
      </c>
      <c r="E79" s="369">
        <v>0</v>
      </c>
      <c r="F79" s="369">
        <v>0</v>
      </c>
      <c r="G79" s="369">
        <v>0</v>
      </c>
      <c r="H79" s="369">
        <v>0</v>
      </c>
      <c r="I79" s="214">
        <v>0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202</v>
      </c>
      <c r="C80" s="369">
        <v>0</v>
      </c>
      <c r="D80" s="369">
        <v>0</v>
      </c>
      <c r="E80" s="369">
        <v>0</v>
      </c>
      <c r="F80" s="369">
        <v>0</v>
      </c>
      <c r="G80" s="369">
        <v>0</v>
      </c>
      <c r="H80" s="369">
        <v>0</v>
      </c>
      <c r="I80" s="214">
        <v>0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203</v>
      </c>
      <c r="C81" s="369">
        <v>0</v>
      </c>
      <c r="D81" s="369">
        <v>0</v>
      </c>
      <c r="E81" s="369">
        <v>0</v>
      </c>
      <c r="F81" s="369">
        <v>0</v>
      </c>
      <c r="G81" s="369">
        <v>0</v>
      </c>
      <c r="H81" s="369">
        <v>0</v>
      </c>
      <c r="I81" s="214">
        <v>0</v>
      </c>
      <c r="J81" s="89">
        <f t="shared" si="3"/>
        <v>0</v>
      </c>
      <c r="K81" s="249"/>
    </row>
    <row r="82" spans="1:12" ht="15" x14ac:dyDescent="0.25">
      <c r="A82" s="116"/>
      <c r="B82" s="95" t="s">
        <v>204</v>
      </c>
      <c r="C82" s="369">
        <v>175822</v>
      </c>
      <c r="D82" s="369">
        <v>50000</v>
      </c>
      <c r="E82" s="369">
        <v>85000</v>
      </c>
      <c r="F82" s="369">
        <v>0</v>
      </c>
      <c r="G82" s="369">
        <v>0</v>
      </c>
      <c r="H82" s="369">
        <v>0</v>
      </c>
      <c r="I82" s="214">
        <v>0</v>
      </c>
      <c r="J82" s="89">
        <f t="shared" si="3"/>
        <v>310822</v>
      </c>
      <c r="K82" s="249"/>
    </row>
    <row r="83" spans="1:12" ht="15" hidden="1" x14ac:dyDescent="0.25">
      <c r="A83" s="116"/>
      <c r="B83" s="95" t="s">
        <v>205</v>
      </c>
      <c r="C83" s="369">
        <v>0</v>
      </c>
      <c r="D83" s="369">
        <v>0</v>
      </c>
      <c r="E83" s="369">
        <v>0</v>
      </c>
      <c r="F83" s="369">
        <v>0</v>
      </c>
      <c r="G83" s="369">
        <v>0</v>
      </c>
      <c r="H83" s="369">
        <v>0</v>
      </c>
      <c r="I83" s="214">
        <v>0</v>
      </c>
      <c r="J83" s="89">
        <f t="shared" si="3"/>
        <v>0</v>
      </c>
      <c r="K83" s="249"/>
    </row>
    <row r="84" spans="1:12" hidden="1" x14ac:dyDescent="0.2">
      <c r="A84" s="116"/>
      <c r="B84" s="95" t="s">
        <v>206</v>
      </c>
      <c r="C84" s="369">
        <v>0</v>
      </c>
      <c r="D84" s="369">
        <v>0</v>
      </c>
      <c r="E84" s="369">
        <v>0</v>
      </c>
      <c r="F84" s="369">
        <v>0</v>
      </c>
      <c r="G84" s="369">
        <v>0</v>
      </c>
      <c r="H84" s="369">
        <v>0</v>
      </c>
      <c r="I84" s="214">
        <v>0</v>
      </c>
      <c r="J84" s="89">
        <f t="shared" si="3"/>
        <v>0</v>
      </c>
      <c r="K84" s="252"/>
    </row>
    <row r="85" spans="1:12" hidden="1" x14ac:dyDescent="0.2">
      <c r="A85" s="116"/>
      <c r="B85" s="95" t="s">
        <v>207</v>
      </c>
      <c r="C85" s="369">
        <v>0</v>
      </c>
      <c r="D85" s="369">
        <v>0</v>
      </c>
      <c r="E85" s="369">
        <v>0</v>
      </c>
      <c r="F85" s="369">
        <v>0</v>
      </c>
      <c r="G85" s="369">
        <v>0</v>
      </c>
      <c r="H85" s="369">
        <v>0</v>
      </c>
      <c r="I85" s="214">
        <v>0</v>
      </c>
      <c r="J85" s="89">
        <f t="shared" si="3"/>
        <v>0</v>
      </c>
      <c r="K85" s="252"/>
    </row>
    <row r="86" spans="1:12" ht="15" hidden="1" x14ac:dyDescent="0.25">
      <c r="A86" s="116"/>
      <c r="B86" s="95" t="s">
        <v>208</v>
      </c>
      <c r="C86" s="369">
        <v>0</v>
      </c>
      <c r="D86" s="369">
        <v>0</v>
      </c>
      <c r="E86" s="369">
        <v>0</v>
      </c>
      <c r="F86" s="369">
        <v>0</v>
      </c>
      <c r="G86" s="369">
        <v>0</v>
      </c>
      <c r="H86" s="369">
        <v>0</v>
      </c>
      <c r="I86" s="214">
        <v>0</v>
      </c>
      <c r="J86" s="89">
        <f t="shared" si="3"/>
        <v>0</v>
      </c>
      <c r="K86" s="249"/>
    </row>
    <row r="87" spans="1:12" ht="15" hidden="1" x14ac:dyDescent="0.25">
      <c r="A87" s="116"/>
      <c r="B87" s="95" t="s">
        <v>209</v>
      </c>
      <c r="C87" s="369">
        <v>0</v>
      </c>
      <c r="D87" s="369">
        <v>0</v>
      </c>
      <c r="E87" s="369">
        <v>0</v>
      </c>
      <c r="F87" s="369">
        <v>0</v>
      </c>
      <c r="G87" s="369">
        <v>0</v>
      </c>
      <c r="H87" s="369">
        <v>0</v>
      </c>
      <c r="I87" s="214">
        <v>0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210</v>
      </c>
      <c r="C88" s="369">
        <v>0</v>
      </c>
      <c r="D88" s="369">
        <v>0</v>
      </c>
      <c r="E88" s="369">
        <v>0</v>
      </c>
      <c r="F88" s="369">
        <v>0</v>
      </c>
      <c r="G88" s="369">
        <v>0</v>
      </c>
      <c r="H88" s="369">
        <v>0</v>
      </c>
      <c r="I88" s="214">
        <v>0</v>
      </c>
      <c r="J88" s="89">
        <f t="shared" si="3"/>
        <v>0</v>
      </c>
      <c r="K88" s="249"/>
      <c r="L88" s="77"/>
    </row>
    <row r="89" spans="1:12" ht="15" hidden="1" x14ac:dyDescent="0.25">
      <c r="A89" s="116"/>
      <c r="B89" s="95" t="s">
        <v>211</v>
      </c>
      <c r="C89" s="369">
        <v>0</v>
      </c>
      <c r="D89" s="369">
        <v>0</v>
      </c>
      <c r="E89" s="369">
        <v>0</v>
      </c>
      <c r="F89" s="369">
        <v>0</v>
      </c>
      <c r="G89" s="369">
        <v>0</v>
      </c>
      <c r="H89" s="369">
        <v>0</v>
      </c>
      <c r="I89" s="214">
        <v>0</v>
      </c>
      <c r="J89" s="89">
        <f t="shared" si="3"/>
        <v>0</v>
      </c>
      <c r="K89" s="249"/>
      <c r="L89" s="77"/>
    </row>
    <row r="90" spans="1:12" ht="15" hidden="1" x14ac:dyDescent="0.25">
      <c r="A90" s="116"/>
      <c r="B90" s="95" t="s">
        <v>212</v>
      </c>
      <c r="C90" s="369">
        <v>0</v>
      </c>
      <c r="D90" s="369">
        <v>0</v>
      </c>
      <c r="E90" s="369">
        <v>0</v>
      </c>
      <c r="F90" s="369">
        <v>0</v>
      </c>
      <c r="G90" s="369">
        <v>0</v>
      </c>
      <c r="H90" s="369">
        <v>0</v>
      </c>
      <c r="I90" s="214">
        <v>0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213</v>
      </c>
      <c r="C91" s="369">
        <v>0</v>
      </c>
      <c r="D91" s="369">
        <v>0</v>
      </c>
      <c r="E91" s="369">
        <v>0</v>
      </c>
      <c r="F91" s="369">
        <v>0</v>
      </c>
      <c r="G91" s="369">
        <v>0</v>
      </c>
      <c r="H91" s="369">
        <v>0</v>
      </c>
      <c r="I91" s="214">
        <v>0</v>
      </c>
      <c r="J91" s="89">
        <f t="shared" si="3"/>
        <v>0</v>
      </c>
      <c r="K91" s="249"/>
      <c r="L91" s="77"/>
    </row>
    <row r="92" spans="1:12" hidden="1" x14ac:dyDescent="0.2">
      <c r="A92" s="116"/>
      <c r="B92" s="95" t="s">
        <v>214</v>
      </c>
      <c r="C92" s="369">
        <v>0</v>
      </c>
      <c r="D92" s="369">
        <v>0</v>
      </c>
      <c r="E92" s="369">
        <v>0</v>
      </c>
      <c r="F92" s="369">
        <v>0</v>
      </c>
      <c r="G92" s="369">
        <v>0</v>
      </c>
      <c r="H92" s="369">
        <v>0</v>
      </c>
      <c r="I92" s="214">
        <v>0</v>
      </c>
      <c r="J92" s="89">
        <f t="shared" si="3"/>
        <v>0</v>
      </c>
      <c r="K92" s="252"/>
    </row>
    <row r="93" spans="1:12" hidden="1" x14ac:dyDescent="0.2">
      <c r="A93" s="116"/>
      <c r="B93" s="95" t="s">
        <v>215</v>
      </c>
      <c r="C93" s="369">
        <v>0</v>
      </c>
      <c r="D93" s="369">
        <v>0</v>
      </c>
      <c r="E93" s="369">
        <v>0</v>
      </c>
      <c r="F93" s="369">
        <v>0</v>
      </c>
      <c r="G93" s="369">
        <v>0</v>
      </c>
      <c r="H93" s="369">
        <v>0</v>
      </c>
      <c r="I93" s="214">
        <v>0</v>
      </c>
      <c r="J93" s="89">
        <f t="shared" si="3"/>
        <v>0</v>
      </c>
      <c r="K93" s="252"/>
    </row>
    <row r="94" spans="1:12" x14ac:dyDescent="0.2">
      <c r="A94" s="116"/>
      <c r="B94" s="95" t="s">
        <v>216</v>
      </c>
      <c r="C94" s="369">
        <v>0</v>
      </c>
      <c r="D94" s="369">
        <v>0</v>
      </c>
      <c r="E94" s="369"/>
      <c r="F94" s="369">
        <v>0</v>
      </c>
      <c r="G94" s="369">
        <v>0</v>
      </c>
      <c r="H94" s="369">
        <v>31000000</v>
      </c>
      <c r="I94" s="214">
        <v>0</v>
      </c>
      <c r="J94" s="89">
        <f t="shared" si="3"/>
        <v>31000000</v>
      </c>
      <c r="K94" s="252"/>
    </row>
    <row r="95" spans="1:12" hidden="1" x14ac:dyDescent="0.2">
      <c r="A95" s="116"/>
      <c r="B95" s="95" t="s">
        <v>217</v>
      </c>
      <c r="C95" s="369">
        <v>0</v>
      </c>
      <c r="D95" s="369">
        <v>0</v>
      </c>
      <c r="E95" s="369">
        <v>0</v>
      </c>
      <c r="F95" s="369">
        <v>0</v>
      </c>
      <c r="G95" s="369">
        <v>0</v>
      </c>
      <c r="H95" s="369">
        <v>0</v>
      </c>
      <c r="I95" s="214">
        <v>0</v>
      </c>
      <c r="J95" s="89">
        <f t="shared" si="3"/>
        <v>0</v>
      </c>
      <c r="K95" s="252"/>
    </row>
    <row r="96" spans="1:12" hidden="1" x14ac:dyDescent="0.2">
      <c r="A96" s="116"/>
      <c r="B96" s="95" t="s">
        <v>218</v>
      </c>
      <c r="C96" s="369">
        <v>0</v>
      </c>
      <c r="D96" s="369">
        <v>0</v>
      </c>
      <c r="E96" s="369">
        <v>0</v>
      </c>
      <c r="F96" s="369">
        <v>0</v>
      </c>
      <c r="G96" s="369">
        <v>0</v>
      </c>
      <c r="H96" s="369">
        <v>0</v>
      </c>
      <c r="I96" s="214">
        <v>0</v>
      </c>
      <c r="J96" s="89">
        <f t="shared" si="3"/>
        <v>0</v>
      </c>
      <c r="K96" s="252"/>
    </row>
    <row r="97" spans="1:11" hidden="1" x14ac:dyDescent="0.2">
      <c r="A97" s="116"/>
      <c r="B97" s="95" t="s">
        <v>219</v>
      </c>
      <c r="C97" s="369">
        <v>0</v>
      </c>
      <c r="D97" s="369">
        <v>0</v>
      </c>
      <c r="E97" s="369">
        <v>0</v>
      </c>
      <c r="F97" s="369">
        <v>0</v>
      </c>
      <c r="G97" s="369">
        <v>0</v>
      </c>
      <c r="H97" s="369">
        <v>0</v>
      </c>
      <c r="I97" s="214">
        <v>0</v>
      </c>
      <c r="J97" s="89">
        <f t="shared" si="3"/>
        <v>0</v>
      </c>
      <c r="K97" s="252"/>
    </row>
    <row r="98" spans="1:11" ht="15" hidden="1" x14ac:dyDescent="0.25">
      <c r="A98" s="251"/>
      <c r="B98" s="100" t="s">
        <v>220</v>
      </c>
      <c r="C98" s="369">
        <v>0</v>
      </c>
      <c r="D98" s="369">
        <v>0</v>
      </c>
      <c r="E98" s="369">
        <v>0</v>
      </c>
      <c r="F98" s="369">
        <v>0</v>
      </c>
      <c r="G98" s="369">
        <v>0</v>
      </c>
      <c r="H98" s="369">
        <v>0</v>
      </c>
      <c r="I98" s="214">
        <v>0</v>
      </c>
      <c r="J98" s="89">
        <f t="shared" si="3"/>
        <v>0</v>
      </c>
      <c r="K98" s="249"/>
    </row>
    <row r="99" spans="1:11" ht="15" hidden="1" x14ac:dyDescent="0.25">
      <c r="A99" s="251"/>
      <c r="B99" s="100" t="s">
        <v>221</v>
      </c>
      <c r="C99" s="369">
        <v>0</v>
      </c>
      <c r="D99" s="369">
        <v>0</v>
      </c>
      <c r="E99" s="369">
        <v>0</v>
      </c>
      <c r="F99" s="369">
        <v>0</v>
      </c>
      <c r="G99" s="369">
        <v>0</v>
      </c>
      <c r="H99" s="369">
        <v>0</v>
      </c>
      <c r="I99" s="214">
        <v>0</v>
      </c>
      <c r="J99" s="89">
        <f t="shared" si="3"/>
        <v>0</v>
      </c>
      <c r="K99" s="249"/>
    </row>
    <row r="100" spans="1:11" hidden="1" x14ac:dyDescent="0.2">
      <c r="A100" s="210" t="s">
        <v>10</v>
      </c>
      <c r="B100" s="211" t="s">
        <v>142</v>
      </c>
      <c r="C100" s="369">
        <v>0</v>
      </c>
      <c r="D100" s="369">
        <v>0</v>
      </c>
      <c r="E100" s="369">
        <v>0</v>
      </c>
      <c r="F100" s="369">
        <v>0</v>
      </c>
      <c r="G100" s="369">
        <v>0</v>
      </c>
      <c r="H100" s="369">
        <v>0</v>
      </c>
      <c r="I100" s="214">
        <v>0</v>
      </c>
      <c r="J100" s="89">
        <f t="shared" si="3"/>
        <v>0</v>
      </c>
      <c r="K100" s="255"/>
    </row>
    <row r="101" spans="1:11" hidden="1" x14ac:dyDescent="0.2">
      <c r="A101" s="210" t="s">
        <v>10</v>
      </c>
      <c r="B101" s="211" t="s">
        <v>141</v>
      </c>
      <c r="C101" s="369">
        <v>0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33</v>
      </c>
      <c r="B102" s="211" t="s">
        <v>222</v>
      </c>
      <c r="C102" s="369">
        <v>0</v>
      </c>
      <c r="D102" s="369">
        <v>0</v>
      </c>
      <c r="E102" s="369">
        <v>0</v>
      </c>
      <c r="F102" s="369">
        <v>0</v>
      </c>
      <c r="G102" s="369">
        <v>0</v>
      </c>
      <c r="H102" s="369">
        <v>0</v>
      </c>
      <c r="I102" s="214">
        <v>0</v>
      </c>
      <c r="J102" s="89">
        <f t="shared" si="3"/>
        <v>0</v>
      </c>
      <c r="K102" s="255"/>
    </row>
    <row r="103" spans="1:11" hidden="1" x14ac:dyDescent="0.2">
      <c r="A103" s="210" t="s">
        <v>10</v>
      </c>
      <c r="B103" s="211" t="s">
        <v>138</v>
      </c>
      <c r="C103" s="369">
        <v>0</v>
      </c>
      <c r="D103" s="369">
        <v>0</v>
      </c>
      <c r="E103" s="369">
        <v>0</v>
      </c>
      <c r="F103" s="369">
        <v>0</v>
      </c>
      <c r="G103" s="369">
        <v>0</v>
      </c>
      <c r="H103" s="369">
        <v>0</v>
      </c>
      <c r="I103" s="214">
        <v>0</v>
      </c>
      <c r="J103" s="89">
        <f t="shared" si="3"/>
        <v>0</v>
      </c>
      <c r="K103" s="255"/>
    </row>
    <row r="104" spans="1:11" hidden="1" x14ac:dyDescent="0.2">
      <c r="A104" s="210" t="s">
        <v>10</v>
      </c>
      <c r="B104" s="211" t="s">
        <v>136</v>
      </c>
      <c r="C104" s="369">
        <v>0</v>
      </c>
      <c r="D104" s="369">
        <v>0</v>
      </c>
      <c r="E104" s="369">
        <v>0</v>
      </c>
      <c r="F104" s="369">
        <v>0</v>
      </c>
      <c r="G104" s="369">
        <v>0</v>
      </c>
      <c r="H104" s="369">
        <v>0</v>
      </c>
      <c r="I104" s="214">
        <v>0</v>
      </c>
      <c r="J104" s="89">
        <f t="shared" si="3"/>
        <v>0</v>
      </c>
      <c r="K104" s="255"/>
    </row>
    <row r="105" spans="1:11" hidden="1" x14ac:dyDescent="0.2">
      <c r="A105" s="257"/>
      <c r="B105" s="95" t="s">
        <v>223</v>
      </c>
      <c r="C105" s="369">
        <v>0</v>
      </c>
      <c r="D105" s="369">
        <v>0</v>
      </c>
      <c r="E105" s="369">
        <v>0</v>
      </c>
      <c r="F105" s="369">
        <v>0</v>
      </c>
      <c r="G105" s="369">
        <v>0</v>
      </c>
      <c r="H105" s="369">
        <v>0</v>
      </c>
      <c r="I105" s="214">
        <v>0</v>
      </c>
      <c r="J105" s="89">
        <f t="shared" si="3"/>
        <v>0</v>
      </c>
      <c r="K105" s="252"/>
    </row>
    <row r="106" spans="1:11" hidden="1" x14ac:dyDescent="0.2">
      <c r="A106" s="257"/>
      <c r="B106" s="95" t="s">
        <v>224</v>
      </c>
      <c r="C106" s="369">
        <v>0</v>
      </c>
      <c r="D106" s="369">
        <v>0</v>
      </c>
      <c r="E106" s="369">
        <v>0</v>
      </c>
      <c r="F106" s="369">
        <v>0</v>
      </c>
      <c r="G106" s="369">
        <v>0</v>
      </c>
      <c r="H106" s="369">
        <v>0</v>
      </c>
      <c r="I106" s="214">
        <v>0</v>
      </c>
      <c r="J106" s="89">
        <f t="shared" si="3"/>
        <v>0</v>
      </c>
      <c r="K106" s="252"/>
    </row>
    <row r="107" spans="1:11" hidden="1" x14ac:dyDescent="0.2">
      <c r="A107" s="257"/>
      <c r="B107" s="95" t="s">
        <v>225</v>
      </c>
      <c r="C107" s="369">
        <v>0</v>
      </c>
      <c r="D107" s="369">
        <v>0</v>
      </c>
      <c r="E107" s="369">
        <v>0</v>
      </c>
      <c r="F107" s="369">
        <v>0</v>
      </c>
      <c r="G107" s="369">
        <v>0</v>
      </c>
      <c r="H107" s="369">
        <v>0</v>
      </c>
      <c r="I107" s="214">
        <v>0</v>
      </c>
      <c r="J107" s="89">
        <f t="shared" si="3"/>
        <v>0</v>
      </c>
      <c r="K107" s="252"/>
    </row>
    <row r="108" spans="1:11" hidden="1" x14ac:dyDescent="0.2">
      <c r="A108" s="257"/>
      <c r="B108" s="95" t="s">
        <v>226</v>
      </c>
      <c r="C108" s="369">
        <v>0</v>
      </c>
      <c r="D108" s="369">
        <v>0</v>
      </c>
      <c r="E108" s="369">
        <v>0</v>
      </c>
      <c r="F108" s="369">
        <v>0</v>
      </c>
      <c r="G108" s="369">
        <v>0</v>
      </c>
      <c r="H108" s="369">
        <v>0</v>
      </c>
      <c r="I108" s="214">
        <v>0</v>
      </c>
      <c r="J108" s="89">
        <f t="shared" si="3"/>
        <v>0</v>
      </c>
      <c r="K108" s="252"/>
    </row>
    <row r="109" spans="1:11" ht="15" hidden="1" x14ac:dyDescent="0.25">
      <c r="A109" s="116"/>
      <c r="B109" s="95" t="s">
        <v>227</v>
      </c>
      <c r="C109" s="369">
        <v>0</v>
      </c>
      <c r="D109" s="369">
        <v>0</v>
      </c>
      <c r="E109" s="369">
        <v>0</v>
      </c>
      <c r="F109" s="369">
        <v>0</v>
      </c>
      <c r="G109" s="369">
        <v>0</v>
      </c>
      <c r="H109" s="369">
        <v>0</v>
      </c>
      <c r="I109" s="214">
        <v>0</v>
      </c>
      <c r="J109" s="89">
        <f t="shared" si="3"/>
        <v>0</v>
      </c>
      <c r="K109" s="249"/>
    </row>
    <row r="110" spans="1:11" ht="15" hidden="1" x14ac:dyDescent="0.25">
      <c r="A110" s="116"/>
      <c r="B110" s="95" t="s">
        <v>228</v>
      </c>
      <c r="C110" s="369">
        <v>0</v>
      </c>
      <c r="D110" s="369">
        <v>0</v>
      </c>
      <c r="E110" s="369">
        <v>0</v>
      </c>
      <c r="F110" s="369">
        <v>0</v>
      </c>
      <c r="G110" s="369">
        <v>0</v>
      </c>
      <c r="H110" s="369">
        <v>0</v>
      </c>
      <c r="I110" s="214">
        <v>0</v>
      </c>
      <c r="J110" s="89">
        <f t="shared" si="3"/>
        <v>0</v>
      </c>
      <c r="K110" s="249"/>
    </row>
    <row r="111" spans="1:11" ht="15" hidden="1" x14ac:dyDescent="0.25">
      <c r="A111" s="116"/>
      <c r="B111" s="95" t="s">
        <v>229</v>
      </c>
      <c r="C111" s="369">
        <v>0</v>
      </c>
      <c r="D111" s="369">
        <v>0</v>
      </c>
      <c r="E111" s="369">
        <v>0</v>
      </c>
      <c r="F111" s="369">
        <v>0</v>
      </c>
      <c r="G111" s="369">
        <v>0</v>
      </c>
      <c r="H111" s="369">
        <v>0</v>
      </c>
      <c r="I111" s="214">
        <v>0</v>
      </c>
      <c r="J111" s="89">
        <f t="shared" si="3"/>
        <v>0</v>
      </c>
      <c r="K111" s="249"/>
    </row>
    <row r="112" spans="1:11" ht="15" x14ac:dyDescent="0.25">
      <c r="A112" s="116"/>
      <c r="B112" s="95" t="s">
        <v>230</v>
      </c>
      <c r="C112" s="369">
        <v>0</v>
      </c>
      <c r="D112" s="369">
        <v>0</v>
      </c>
      <c r="E112" s="369">
        <v>0</v>
      </c>
      <c r="F112" s="369">
        <v>0</v>
      </c>
      <c r="G112" s="369">
        <v>0</v>
      </c>
      <c r="H112" s="369">
        <v>1000000</v>
      </c>
      <c r="I112" s="214">
        <v>0</v>
      </c>
      <c r="J112" s="89">
        <f t="shared" si="3"/>
        <v>1000000</v>
      </c>
      <c r="K112" s="249"/>
    </row>
    <row r="113" spans="1:11" ht="15" hidden="1" x14ac:dyDescent="0.25">
      <c r="A113" s="116"/>
      <c r="B113" s="95" t="s">
        <v>231</v>
      </c>
      <c r="C113" s="369">
        <v>0</v>
      </c>
      <c r="D113" s="369">
        <v>0</v>
      </c>
      <c r="E113" s="369">
        <v>0</v>
      </c>
      <c r="F113" s="369">
        <v>0</v>
      </c>
      <c r="G113" s="369">
        <v>0</v>
      </c>
      <c r="H113" s="369">
        <v>0</v>
      </c>
      <c r="I113" s="214">
        <v>0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232</v>
      </c>
      <c r="C114" s="369">
        <v>0</v>
      </c>
      <c r="D114" s="369">
        <v>0</v>
      </c>
      <c r="E114" s="369">
        <v>0</v>
      </c>
      <c r="F114" s="369">
        <v>0</v>
      </c>
      <c r="G114" s="369">
        <v>0</v>
      </c>
      <c r="H114" s="369">
        <v>0</v>
      </c>
      <c r="I114" s="214">
        <v>0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233</v>
      </c>
      <c r="C115" s="369">
        <v>0</v>
      </c>
      <c r="D115" s="369">
        <v>0</v>
      </c>
      <c r="E115" s="369">
        <v>0</v>
      </c>
      <c r="F115" s="369">
        <v>0</v>
      </c>
      <c r="G115" s="369">
        <v>0</v>
      </c>
      <c r="H115" s="369">
        <v>0</v>
      </c>
      <c r="I115" s="214">
        <v>0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234</v>
      </c>
      <c r="C116" s="369">
        <v>0</v>
      </c>
      <c r="D116" s="369">
        <v>0</v>
      </c>
      <c r="E116" s="369">
        <v>0</v>
      </c>
      <c r="F116" s="369">
        <v>0</v>
      </c>
      <c r="G116" s="369">
        <v>0</v>
      </c>
      <c r="H116" s="369">
        <v>0</v>
      </c>
      <c r="I116" s="214">
        <v>0</v>
      </c>
      <c r="J116" s="89">
        <f t="shared" si="3"/>
        <v>0</v>
      </c>
      <c r="K116" s="249"/>
    </row>
    <row r="117" spans="1:11" ht="15" x14ac:dyDescent="0.25">
      <c r="A117" s="116"/>
      <c r="B117" s="95" t="s">
        <v>9</v>
      </c>
      <c r="C117" s="369">
        <v>546500</v>
      </c>
      <c r="D117" s="369">
        <v>298900</v>
      </c>
      <c r="E117" s="369">
        <v>129800</v>
      </c>
      <c r="F117" s="369">
        <v>0</v>
      </c>
      <c r="G117" s="369">
        <v>0</v>
      </c>
      <c r="H117" s="369">
        <v>61508</v>
      </c>
      <c r="I117" s="214">
        <v>0</v>
      </c>
      <c r="J117" s="89">
        <f t="shared" si="3"/>
        <v>1036708</v>
      </c>
      <c r="K117" s="249"/>
    </row>
    <row r="118" spans="1:11" ht="15" hidden="1" x14ac:dyDescent="0.25">
      <c r="A118" s="116"/>
      <c r="B118" s="95" t="s">
        <v>235</v>
      </c>
      <c r="C118" s="369">
        <v>0</v>
      </c>
      <c r="D118" s="369">
        <v>0</v>
      </c>
      <c r="E118" s="369">
        <v>0</v>
      </c>
      <c r="F118" s="369">
        <v>0</v>
      </c>
      <c r="G118" s="369">
        <v>0</v>
      </c>
      <c r="H118" s="369">
        <v>0</v>
      </c>
      <c r="I118" s="214">
        <v>0</v>
      </c>
      <c r="J118" s="89">
        <f t="shared" si="3"/>
        <v>0</v>
      </c>
      <c r="K118" s="249"/>
    </row>
    <row r="119" spans="1:11" ht="15" x14ac:dyDescent="0.25">
      <c r="A119" s="116"/>
      <c r="B119" s="95" t="s">
        <v>236</v>
      </c>
      <c r="C119" s="369">
        <v>50000</v>
      </c>
      <c r="D119" s="369">
        <v>0</v>
      </c>
      <c r="E119" s="369">
        <v>0</v>
      </c>
      <c r="F119" s="369">
        <v>0</v>
      </c>
      <c r="G119" s="369">
        <v>0</v>
      </c>
      <c r="H119" s="369">
        <v>0</v>
      </c>
      <c r="I119" s="214">
        <v>0</v>
      </c>
      <c r="J119" s="89">
        <f t="shared" si="3"/>
        <v>50000</v>
      </c>
      <c r="K119" s="249"/>
    </row>
    <row r="120" spans="1:11" ht="15" hidden="1" x14ac:dyDescent="0.25">
      <c r="A120" s="116"/>
      <c r="B120" s="95" t="s">
        <v>237</v>
      </c>
      <c r="C120" s="369"/>
      <c r="D120" s="369">
        <v>0</v>
      </c>
      <c r="E120" s="369">
        <v>0</v>
      </c>
      <c r="F120" s="369">
        <v>0</v>
      </c>
      <c r="G120" s="369">
        <v>0</v>
      </c>
      <c r="H120" s="369">
        <v>0</v>
      </c>
      <c r="I120" s="214">
        <v>0</v>
      </c>
      <c r="J120" s="89">
        <f t="shared" si="3"/>
        <v>0</v>
      </c>
      <c r="K120" s="249"/>
    </row>
    <row r="121" spans="1:11" ht="15" hidden="1" x14ac:dyDescent="0.25">
      <c r="A121" s="116"/>
      <c r="B121" s="95" t="s">
        <v>238</v>
      </c>
      <c r="C121" s="369">
        <v>0</v>
      </c>
      <c r="D121" s="369">
        <v>0</v>
      </c>
      <c r="E121" s="369">
        <v>0</v>
      </c>
      <c r="F121" s="369">
        <v>0</v>
      </c>
      <c r="G121" s="369">
        <v>0</v>
      </c>
      <c r="H121" s="369">
        <v>0</v>
      </c>
      <c r="I121" s="214">
        <v>0</v>
      </c>
      <c r="J121" s="89">
        <f t="shared" si="3"/>
        <v>0</v>
      </c>
      <c r="K121" s="249"/>
    </row>
    <row r="122" spans="1:11" ht="15" hidden="1" x14ac:dyDescent="0.25">
      <c r="A122" s="251"/>
      <c r="B122" s="100" t="s">
        <v>239</v>
      </c>
      <c r="C122" s="369">
        <v>0</v>
      </c>
      <c r="D122" s="369">
        <v>0</v>
      </c>
      <c r="E122" s="369">
        <v>0</v>
      </c>
      <c r="F122" s="369">
        <v>0</v>
      </c>
      <c r="G122" s="369">
        <v>0</v>
      </c>
      <c r="H122" s="36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251"/>
      <c r="B123" s="100" t="s">
        <v>240</v>
      </c>
      <c r="C123" s="369">
        <v>0</v>
      </c>
      <c r="D123" s="369">
        <v>0</v>
      </c>
      <c r="E123" s="369">
        <v>0</v>
      </c>
      <c r="F123" s="369">
        <v>0</v>
      </c>
      <c r="G123" s="369">
        <v>0</v>
      </c>
      <c r="H123" s="369">
        <v>0</v>
      </c>
      <c r="I123" s="214">
        <v>0</v>
      </c>
      <c r="J123" s="89">
        <f t="shared" si="3"/>
        <v>0</v>
      </c>
      <c r="K123" s="249"/>
    </row>
    <row r="124" spans="1:11" ht="15" hidden="1" x14ac:dyDescent="0.25">
      <c r="A124" s="251"/>
      <c r="B124" s="100" t="s">
        <v>241</v>
      </c>
      <c r="C124" s="369">
        <v>0</v>
      </c>
      <c r="D124" s="369">
        <v>0</v>
      </c>
      <c r="E124" s="369">
        <v>0</v>
      </c>
      <c r="F124" s="369">
        <v>0</v>
      </c>
      <c r="G124" s="369">
        <v>0</v>
      </c>
      <c r="H124" s="36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8"/>
      <c r="B125" s="244" t="s">
        <v>242</v>
      </c>
      <c r="C125" s="369">
        <v>0</v>
      </c>
      <c r="D125" s="369">
        <v>0</v>
      </c>
      <c r="E125" s="369">
        <v>0</v>
      </c>
      <c r="F125" s="369">
        <v>0</v>
      </c>
      <c r="G125" s="369">
        <v>0</v>
      </c>
      <c r="H125" s="369">
        <v>0</v>
      </c>
      <c r="I125" s="214">
        <v>0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243</v>
      </c>
      <c r="C126" s="369">
        <v>0</v>
      </c>
      <c r="D126" s="369">
        <v>0</v>
      </c>
      <c r="E126" s="369">
        <v>0</v>
      </c>
      <c r="F126" s="369">
        <v>0</v>
      </c>
      <c r="G126" s="369">
        <v>0</v>
      </c>
      <c r="H126" s="369">
        <v>0</v>
      </c>
      <c r="I126" s="214">
        <v>0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244</v>
      </c>
      <c r="C127" s="369">
        <v>0</v>
      </c>
      <c r="D127" s="369">
        <v>0</v>
      </c>
      <c r="E127" s="369">
        <v>0</v>
      </c>
      <c r="F127" s="369">
        <v>0</v>
      </c>
      <c r="G127" s="369">
        <v>0</v>
      </c>
      <c r="H127" s="369">
        <v>0</v>
      </c>
      <c r="I127" s="214">
        <v>0</v>
      </c>
      <c r="J127" s="89">
        <f t="shared" si="3"/>
        <v>0</v>
      </c>
      <c r="K127" s="249"/>
    </row>
    <row r="128" spans="1:11" ht="15" x14ac:dyDescent="0.25">
      <c r="A128" s="260" t="s">
        <v>245</v>
      </c>
      <c r="B128" s="317"/>
      <c r="C128" s="369">
        <v>0</v>
      </c>
      <c r="D128" s="369">
        <v>0</v>
      </c>
      <c r="E128" s="369">
        <v>0</v>
      </c>
      <c r="F128" s="369">
        <v>0</v>
      </c>
      <c r="G128" s="369">
        <v>0</v>
      </c>
      <c r="H128" s="369">
        <v>0</v>
      </c>
      <c r="I128" s="214"/>
      <c r="J128" s="89"/>
      <c r="K128" s="249"/>
    </row>
    <row r="129" spans="1:11" ht="15" hidden="1" x14ac:dyDescent="0.25">
      <c r="A129" s="116"/>
      <c r="B129" s="95" t="s">
        <v>246</v>
      </c>
      <c r="C129" s="369">
        <v>0</v>
      </c>
      <c r="D129" s="369">
        <v>0</v>
      </c>
      <c r="E129" s="369">
        <v>0</v>
      </c>
      <c r="F129" s="369">
        <v>0</v>
      </c>
      <c r="G129" s="369">
        <v>0</v>
      </c>
      <c r="H129" s="369">
        <v>0</v>
      </c>
      <c r="I129" s="214">
        <v>0</v>
      </c>
      <c r="J129" s="89">
        <f t="shared" si="3"/>
        <v>0</v>
      </c>
      <c r="K129" s="249"/>
    </row>
    <row r="130" spans="1:11" hidden="1" x14ac:dyDescent="0.2">
      <c r="A130" s="251"/>
      <c r="B130" s="100" t="s">
        <v>247</v>
      </c>
      <c r="C130" s="369">
        <v>0</v>
      </c>
      <c r="D130" s="369">
        <v>0</v>
      </c>
      <c r="E130" s="369">
        <v>0</v>
      </c>
      <c r="F130" s="369">
        <v>0</v>
      </c>
      <c r="G130" s="369">
        <v>0</v>
      </c>
      <c r="H130" s="369">
        <v>0</v>
      </c>
      <c r="I130" s="214">
        <v>0</v>
      </c>
      <c r="J130" s="89">
        <f t="shared" si="3"/>
        <v>0</v>
      </c>
      <c r="K130" s="252"/>
    </row>
    <row r="131" spans="1:11" hidden="1" x14ac:dyDescent="0.2">
      <c r="A131" s="116"/>
      <c r="B131" s="95" t="s">
        <v>248</v>
      </c>
      <c r="C131" s="369">
        <v>0</v>
      </c>
      <c r="D131" s="369">
        <v>0</v>
      </c>
      <c r="E131" s="369">
        <v>0</v>
      </c>
      <c r="F131" s="369">
        <v>0</v>
      </c>
      <c r="G131" s="369">
        <v>0</v>
      </c>
      <c r="H131" s="36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249</v>
      </c>
      <c r="C132" s="369">
        <v>0</v>
      </c>
      <c r="D132" s="369">
        <v>0</v>
      </c>
      <c r="E132" s="369">
        <v>0</v>
      </c>
      <c r="F132" s="369">
        <v>0</v>
      </c>
      <c r="G132" s="369">
        <v>0</v>
      </c>
      <c r="H132" s="369">
        <v>0</v>
      </c>
      <c r="I132" s="214">
        <v>0</v>
      </c>
      <c r="J132" s="89">
        <f t="shared" ref="J132:J147" si="4">SUM(C132:I132)</f>
        <v>0</v>
      </c>
      <c r="K132" s="252"/>
    </row>
    <row r="133" spans="1:11" hidden="1" x14ac:dyDescent="0.2">
      <c r="A133" s="116"/>
      <c r="B133" s="95" t="s">
        <v>250</v>
      </c>
      <c r="C133" s="369">
        <v>0</v>
      </c>
      <c r="D133" s="369">
        <v>0</v>
      </c>
      <c r="E133" s="369">
        <v>0</v>
      </c>
      <c r="F133" s="369">
        <v>0</v>
      </c>
      <c r="G133" s="369">
        <v>0</v>
      </c>
      <c r="H133" s="369">
        <v>0</v>
      </c>
      <c r="I133" s="214">
        <v>0</v>
      </c>
      <c r="J133" s="89">
        <f t="shared" si="4"/>
        <v>0</v>
      </c>
      <c r="K133" s="92"/>
    </row>
    <row r="134" spans="1:11" hidden="1" x14ac:dyDescent="0.2">
      <c r="A134" s="116"/>
      <c r="B134" s="95" t="s">
        <v>251</v>
      </c>
      <c r="C134" s="369">
        <v>0</v>
      </c>
      <c r="D134" s="369">
        <v>0</v>
      </c>
      <c r="E134" s="369">
        <v>0</v>
      </c>
      <c r="F134" s="369">
        <v>0</v>
      </c>
      <c r="G134" s="369">
        <v>0</v>
      </c>
      <c r="H134" s="36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252</v>
      </c>
      <c r="C135" s="369">
        <v>0</v>
      </c>
      <c r="D135" s="369">
        <v>0</v>
      </c>
      <c r="E135" s="369">
        <v>0</v>
      </c>
      <c r="F135" s="369">
        <v>0</v>
      </c>
      <c r="G135" s="369">
        <v>0</v>
      </c>
      <c r="H135" s="36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253</v>
      </c>
      <c r="C136" s="369">
        <v>0</v>
      </c>
      <c r="D136" s="369">
        <v>0</v>
      </c>
      <c r="E136" s="369">
        <v>0</v>
      </c>
      <c r="F136" s="369">
        <v>0</v>
      </c>
      <c r="G136" s="369">
        <v>0</v>
      </c>
      <c r="H136" s="36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254</v>
      </c>
      <c r="C137" s="369">
        <v>0</v>
      </c>
      <c r="D137" s="369">
        <v>0</v>
      </c>
      <c r="E137" s="369">
        <v>0</v>
      </c>
      <c r="F137" s="369">
        <v>0</v>
      </c>
      <c r="G137" s="369">
        <v>0</v>
      </c>
      <c r="H137" s="36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255</v>
      </c>
      <c r="C138" s="369">
        <v>0</v>
      </c>
      <c r="D138" s="369">
        <v>0</v>
      </c>
      <c r="E138" s="369">
        <v>0</v>
      </c>
      <c r="F138" s="369">
        <v>0</v>
      </c>
      <c r="G138" s="369">
        <v>0</v>
      </c>
      <c r="H138" s="36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256</v>
      </c>
      <c r="C139" s="369">
        <v>0</v>
      </c>
      <c r="D139" s="369">
        <v>0</v>
      </c>
      <c r="E139" s="369">
        <v>0</v>
      </c>
      <c r="F139" s="369">
        <v>0</v>
      </c>
      <c r="G139" s="369">
        <v>0</v>
      </c>
      <c r="H139" s="36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257</v>
      </c>
      <c r="C140" s="369">
        <v>0</v>
      </c>
      <c r="D140" s="369">
        <v>0</v>
      </c>
      <c r="E140" s="369">
        <v>0</v>
      </c>
      <c r="F140" s="369">
        <v>0</v>
      </c>
      <c r="G140" s="369">
        <v>0</v>
      </c>
      <c r="H140" s="369">
        <v>0</v>
      </c>
      <c r="I140" s="214">
        <v>0</v>
      </c>
      <c r="J140" s="89">
        <f t="shared" si="4"/>
        <v>0</v>
      </c>
      <c r="K140" s="92"/>
    </row>
    <row r="141" spans="1:11" hidden="1" x14ac:dyDescent="0.2">
      <c r="A141" s="116"/>
      <c r="B141" s="95" t="s">
        <v>258</v>
      </c>
      <c r="C141" s="369">
        <v>0</v>
      </c>
      <c r="D141" s="369">
        <v>0</v>
      </c>
      <c r="E141" s="369">
        <v>0</v>
      </c>
      <c r="F141" s="369">
        <v>0</v>
      </c>
      <c r="G141" s="369">
        <v>0</v>
      </c>
      <c r="H141" s="369">
        <v>0</v>
      </c>
      <c r="I141" s="214">
        <v>0</v>
      </c>
      <c r="J141" s="89">
        <f t="shared" si="4"/>
        <v>0</v>
      </c>
      <c r="K141" s="92"/>
    </row>
    <row r="142" spans="1:11" hidden="1" x14ac:dyDescent="0.2">
      <c r="A142" s="116"/>
      <c r="B142" s="95" t="s">
        <v>259</v>
      </c>
      <c r="C142" s="369">
        <v>0</v>
      </c>
      <c r="D142" s="369">
        <v>0</v>
      </c>
      <c r="E142" s="369">
        <v>0</v>
      </c>
      <c r="F142" s="369">
        <v>0</v>
      </c>
      <c r="G142" s="369">
        <v>0</v>
      </c>
      <c r="H142" s="369">
        <v>0</v>
      </c>
      <c r="I142" s="214">
        <v>0</v>
      </c>
      <c r="J142" s="89">
        <f t="shared" si="4"/>
        <v>0</v>
      </c>
      <c r="K142" s="92"/>
    </row>
    <row r="143" spans="1:11" hidden="1" x14ac:dyDescent="0.2">
      <c r="A143" s="116"/>
      <c r="B143" s="95" t="s">
        <v>260</v>
      </c>
      <c r="C143" s="369">
        <v>0</v>
      </c>
      <c r="D143" s="369">
        <v>0</v>
      </c>
      <c r="E143" s="369">
        <v>0</v>
      </c>
      <c r="F143" s="369">
        <v>0</v>
      </c>
      <c r="G143" s="369">
        <v>0</v>
      </c>
      <c r="H143" s="369">
        <v>0</v>
      </c>
      <c r="I143" s="214">
        <v>0</v>
      </c>
      <c r="J143" s="89">
        <f t="shared" si="4"/>
        <v>0</v>
      </c>
      <c r="K143" s="92"/>
    </row>
    <row r="144" spans="1:11" ht="15.75" thickBot="1" x14ac:dyDescent="0.3">
      <c r="A144" s="261" t="s">
        <v>456</v>
      </c>
      <c r="B144" s="262"/>
      <c r="C144" s="263">
        <f>SUM(C55:C143)</f>
        <v>772322</v>
      </c>
      <c r="D144" s="263">
        <f t="shared" ref="D144:H144" si="5">SUM(D55:D143)</f>
        <v>348900</v>
      </c>
      <c r="E144" s="263">
        <f t="shared" si="5"/>
        <v>5754800</v>
      </c>
      <c r="F144" s="263">
        <f t="shared" si="5"/>
        <v>0</v>
      </c>
      <c r="G144" s="263">
        <f t="shared" si="5"/>
        <v>0</v>
      </c>
      <c r="H144" s="263">
        <f t="shared" si="5"/>
        <v>34255965</v>
      </c>
      <c r="I144" s="264">
        <f>SUM(I55:I143)</f>
        <v>0</v>
      </c>
      <c r="J144" s="265">
        <f t="shared" si="4"/>
        <v>41131987</v>
      </c>
      <c r="K144" s="266"/>
    </row>
    <row r="145" spans="1:10" ht="18.75" customHeight="1" thickBot="1" x14ac:dyDescent="0.3">
      <c r="A145" s="245" t="s">
        <v>457</v>
      </c>
      <c r="B145" s="246"/>
      <c r="C145" s="247">
        <f>C54+C144</f>
        <v>5482300</v>
      </c>
      <c r="D145" s="247">
        <f t="shared" ref="D145:I145" si="6">D54+D144</f>
        <v>2907355</v>
      </c>
      <c r="E145" s="247">
        <f t="shared" si="6"/>
        <v>8732798</v>
      </c>
      <c r="F145" s="247">
        <f t="shared" si="6"/>
        <v>5200000</v>
      </c>
      <c r="G145" s="247">
        <f t="shared" si="6"/>
        <v>150000</v>
      </c>
      <c r="H145" s="247">
        <f t="shared" si="6"/>
        <v>59128818</v>
      </c>
      <c r="I145" s="248">
        <f t="shared" si="6"/>
        <v>0</v>
      </c>
      <c r="J145" s="236">
        <f t="shared" si="4"/>
        <v>81601271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0</v>
      </c>
      <c r="F146" s="269">
        <v>-5200000</v>
      </c>
      <c r="G146" s="269">
        <v>0</v>
      </c>
      <c r="H146" s="269">
        <v>0</v>
      </c>
      <c r="I146" s="270">
        <v>0</v>
      </c>
      <c r="J146" s="144">
        <f t="shared" si="4"/>
        <v>-5200000</v>
      </c>
    </row>
    <row r="147" spans="1:10" ht="21.75" customHeight="1" thickBot="1" x14ac:dyDescent="0.3">
      <c r="A147" s="271" t="s">
        <v>459</v>
      </c>
      <c r="B147" s="103"/>
      <c r="C147" s="272">
        <f>C145+C146</f>
        <v>5482300</v>
      </c>
      <c r="D147" s="272">
        <f t="shared" ref="D147:I147" si="7">D145+D146</f>
        <v>2907355</v>
      </c>
      <c r="E147" s="272">
        <f t="shared" si="7"/>
        <v>8732798</v>
      </c>
      <c r="F147" s="272">
        <f t="shared" si="7"/>
        <v>0</v>
      </c>
      <c r="G147" s="272">
        <f t="shared" si="7"/>
        <v>150000</v>
      </c>
      <c r="H147" s="272">
        <f t="shared" si="7"/>
        <v>59128818</v>
      </c>
      <c r="I147" s="272">
        <f t="shared" si="7"/>
        <v>0</v>
      </c>
      <c r="J147" s="272">
        <f t="shared" si="4"/>
        <v>76401271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74"/>
      <c r="J148" s="274"/>
    </row>
    <row r="149" spans="1:10" x14ac:dyDescent="0.2">
      <c r="A149" s="275"/>
      <c r="B149" s="191" t="str">
        <f>'PCFP - All Revenue AA-1 R-7'!C81</f>
        <v>Eureka County School District</v>
      </c>
      <c r="C149" s="274" t="s">
        <v>428</v>
      </c>
      <c r="D149" s="274"/>
      <c r="E149" s="276"/>
      <c r="F149" s="276"/>
      <c r="G149" s="276"/>
      <c r="H149" s="280"/>
      <c r="I149" s="280"/>
      <c r="J149" s="191"/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J150" s="278" t="str">
        <f>"Budget Fiscal Year "&amp;TEXT('[7]Form 1'!$C$136, "mm/dd/yy")</f>
        <v>Budget Fiscal Year 2019-2020</v>
      </c>
    </row>
    <row r="151" spans="1:10" x14ac:dyDescent="0.2">
      <c r="J151" s="280" t="s">
        <v>461</v>
      </c>
    </row>
  </sheetData>
  <pageMargins left="0.55000000000000004" right="0" top="0.5" bottom="0.25" header="0.5" footer="0"/>
  <pageSetup scale="67" fitToHeight="3" orientation="landscape" r:id="rId1"/>
  <headerFooter alignWithMargins="0">
    <oddFooter>&amp;C&amp;8FORM 4405LGF
Last Revised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2FA20-0254-4788-903D-E1068D6818B1}">
  <dimension ref="A2:I19"/>
  <sheetViews>
    <sheetView showGridLines="0" workbookViewId="0">
      <selection activeCell="A5" sqref="A5:XFD7"/>
    </sheetView>
  </sheetViews>
  <sheetFormatPr defaultColWidth="8.85546875" defaultRowHeight="12.75" x14ac:dyDescent="0.2"/>
  <sheetData>
    <row r="2" spans="1:9" ht="18" x14ac:dyDescent="0.25">
      <c r="A2" s="6" t="s">
        <v>629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  <row r="19" spans="2:2" x14ac:dyDescent="0.2">
      <c r="B19" s="3" t="s">
        <v>463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800C-B7D5-4687-80B0-03F13D1953CB}">
  <dimension ref="A1:W159"/>
  <sheetViews>
    <sheetView showGridLines="0" topLeftCell="A66" zoomScaleNormal="100" workbookViewId="0">
      <selection activeCell="C18" sqref="C18:D18"/>
    </sheetView>
  </sheetViews>
  <sheetFormatPr defaultRowHeight="12.75" x14ac:dyDescent="0.2"/>
  <cols>
    <col min="1" max="1" width="5.28515625" style="2" bestFit="1" customWidth="1"/>
    <col min="2" max="2" width="41.140625" bestFit="1" customWidth="1"/>
    <col min="3" max="3" width="17.140625" style="12" bestFit="1" customWidth="1"/>
    <col min="4" max="4" width="16.7109375" style="12" bestFit="1" customWidth="1"/>
    <col min="5" max="5" width="18.5703125" style="12" bestFit="1" customWidth="1"/>
    <col min="6" max="6" width="20.5703125" style="12" bestFit="1" customWidth="1"/>
    <col min="7" max="7" width="22.42578125" style="12" bestFit="1" customWidth="1"/>
    <col min="8" max="8" width="20.42578125" style="12" bestFit="1" customWidth="1"/>
    <col min="9" max="9" width="21.42578125" style="12" customWidth="1"/>
    <col min="10" max="10" width="16.140625" style="12" bestFit="1" customWidth="1"/>
    <col min="11" max="11" width="18.85546875" style="12" bestFit="1" customWidth="1"/>
    <col min="12" max="12" width="19.7109375" style="12" bestFit="1" customWidth="1"/>
    <col min="13" max="13" width="17.28515625" style="12" bestFit="1" customWidth="1"/>
    <col min="14" max="14" width="16.42578125" style="12" customWidth="1"/>
    <col min="15" max="15" width="17.28515625" style="12" bestFit="1" customWidth="1"/>
    <col min="16" max="17" width="15.140625" style="12" bestFit="1" customWidth="1"/>
    <col min="18" max="18" width="17.42578125" style="12" bestFit="1" customWidth="1"/>
    <col min="19" max="19" width="15.5703125" style="12" bestFit="1" customWidth="1"/>
    <col min="20" max="21" width="20.85546875" style="12" bestFit="1" customWidth="1"/>
    <col min="22" max="22" width="23.5703125" style="12" bestFit="1" customWidth="1"/>
    <col min="23" max="23" width="16.7109375" style="12" bestFit="1" customWidth="1"/>
    <col min="24" max="24" width="6" bestFit="1" customWidth="1"/>
    <col min="25" max="25" width="12.28515625" bestFit="1" customWidth="1"/>
    <col min="26" max="26" width="16.5703125" bestFit="1" customWidth="1"/>
  </cols>
  <sheetData>
    <row r="1" spans="1:23" s="8" customFormat="1" ht="18" x14ac:dyDescent="0.25">
      <c r="B1" s="9" t="s">
        <v>117</v>
      </c>
      <c r="C1" s="10" t="s">
        <v>118</v>
      </c>
      <c r="D1" s="10" t="s">
        <v>119</v>
      </c>
      <c r="E1" s="9"/>
      <c r="F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3" x14ac:dyDescent="0.2"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15" customFormat="1" ht="38.25" x14ac:dyDescent="0.2">
      <c r="A3" s="13"/>
      <c r="B3" s="13" t="s">
        <v>120</v>
      </c>
      <c r="C3" s="14" t="s">
        <v>121</v>
      </c>
      <c r="D3" s="14" t="s">
        <v>122</v>
      </c>
      <c r="E3" s="13" t="s">
        <v>123</v>
      </c>
    </row>
    <row r="4" spans="1:23" x14ac:dyDescent="0.2">
      <c r="B4" s="3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x14ac:dyDescent="0.2">
      <c r="B5" s="16" t="s">
        <v>124</v>
      </c>
      <c r="C5" s="12">
        <f>'19_20 District Budget Sum-1'!W24</f>
        <v>51734598</v>
      </c>
      <c r="D5" s="12">
        <f>SUM('PCFP - All Revenue AA-1 R-1'!F33,'PCFP - All Revenue AA-1 R-1'!H33)</f>
        <v>10249527</v>
      </c>
      <c r="E5" s="17">
        <f>D5-C5</f>
        <v>-41485071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x14ac:dyDescent="0.2">
      <c r="E6" s="1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x14ac:dyDescent="0.2">
      <c r="B7" s="16" t="s">
        <v>125</v>
      </c>
      <c r="C7" s="12">
        <f>'19_20 District Budget Sum-1'!W34</f>
        <v>31899760</v>
      </c>
      <c r="D7" s="12">
        <f>SUM('PCFP - All Revenue AA-1 R-1'!F49,'PCFP - All Revenue AA-1 R-1'!H49)</f>
        <v>76113094.614710167</v>
      </c>
      <c r="E7" s="17">
        <f>D7-C7</f>
        <v>44213334.614710167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x14ac:dyDescent="0.2">
      <c r="E8" s="1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">
      <c r="B9" s="16" t="s">
        <v>126</v>
      </c>
      <c r="C9" s="12">
        <f>'19_20 District Budget Sum-1'!W40</f>
        <v>9590000</v>
      </c>
      <c r="D9" s="12">
        <f>SUM('PCFP - All Revenue AA-1 R-1'!F57,'PCFP - All Revenue AA-1 R-1'!H57)</f>
        <v>9590000</v>
      </c>
      <c r="E9" s="17">
        <f>D9-C9</f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x14ac:dyDescent="0.2">
      <c r="E10" s="1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">
      <c r="B11" s="16" t="s">
        <v>127</v>
      </c>
      <c r="C11" s="12">
        <f>'19_20 District Budget Sum-1'!W46</f>
        <v>28129723</v>
      </c>
      <c r="D11" s="12">
        <f>SUM('PCFP - All Revenue AA-1 R-1'!F67,'PCFP - All Revenue AA-1 R-1'!H67)</f>
        <v>20812052</v>
      </c>
      <c r="E11" s="17">
        <f>D11-C11</f>
        <v>-7317671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" customFormat="1" x14ac:dyDescent="0.2">
      <c r="B13" s="18" t="s">
        <v>128</v>
      </c>
      <c r="C13" s="19">
        <f>SUM(C5:C12)</f>
        <v>121354081</v>
      </c>
      <c r="D13" s="19">
        <f>SUM(D5:D12)</f>
        <v>116764673.61471017</v>
      </c>
      <c r="E13" s="20">
        <f>D13-C13</f>
        <v>-4589407.3852898329</v>
      </c>
    </row>
    <row r="14" spans="1:23" x14ac:dyDescent="0.2"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x14ac:dyDescent="0.2">
      <c r="B15" s="16" t="s">
        <v>129</v>
      </c>
      <c r="C15" s="12">
        <f>'19_20 District Budget Sum-1'!W54</f>
        <v>27676444</v>
      </c>
      <c r="D15" s="12">
        <f>SUM('PCFP - All Revenue AA-1 R-1'!F71,'PCFP - All Revenue AA-1 R-1'!H71)</f>
        <v>27676444</v>
      </c>
      <c r="E15" s="21">
        <f>D15-C15</f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x14ac:dyDescent="0.2"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x14ac:dyDescent="0.2">
      <c r="A17" s="22"/>
      <c r="B17" s="23" t="s">
        <v>130</v>
      </c>
      <c r="C17" s="24">
        <f>SUM(C13:C15)</f>
        <v>149030525</v>
      </c>
      <c r="D17" s="24">
        <f t="shared" ref="D17" si="0">SUM(D13:D15)</f>
        <v>144441117.61471015</v>
      </c>
      <c r="E17" s="25">
        <f>D17-C17</f>
        <v>-4589407.3852898479</v>
      </c>
      <c r="F17" s="26"/>
      <c r="G17" s="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" customFormat="1" x14ac:dyDescent="0.2">
      <c r="A18" s="27"/>
      <c r="B18" s="28" t="s">
        <v>131</v>
      </c>
      <c r="C18" s="910">
        <f>SUM(C21,C38,C67,C69)</f>
        <v>149030525</v>
      </c>
      <c r="D18" s="910">
        <f>SUM(D21,D38,D67,D69)</f>
        <v>149958472</v>
      </c>
      <c r="E18" s="29">
        <f>D18-C18</f>
        <v>927947</v>
      </c>
    </row>
    <row r="19" spans="1:23" x14ac:dyDescent="0.2">
      <c r="A19" s="30"/>
      <c r="B19" s="286" t="s">
        <v>132</v>
      </c>
      <c r="C19" s="909">
        <f t="shared" ref="C19:D19" si="1">C17-C18</f>
        <v>0</v>
      </c>
      <c r="D19" s="909">
        <f t="shared" si="1"/>
        <v>-5517354.3852898479</v>
      </c>
      <c r="E19" s="29">
        <f>D19-C19</f>
        <v>-5517354.3852898479</v>
      </c>
      <c r="F19" s="31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x14ac:dyDescent="0.2">
      <c r="E20"/>
      <c r="F20" s="32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x14ac:dyDescent="0.2">
      <c r="A21" s="3"/>
      <c r="B21" s="3" t="s">
        <v>133</v>
      </c>
      <c r="C21" s="12">
        <f>SUM(C22:C36)</f>
        <v>64605993</v>
      </c>
      <c r="D21" s="12">
        <f>SUM(D22:D36)</f>
        <v>37110654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idden="1" x14ac:dyDescent="0.2">
      <c r="A22" s="3">
        <v>100</v>
      </c>
      <c r="B22" s="3" t="s">
        <v>134</v>
      </c>
      <c r="C22" s="12">
        <f>'19_20 District Budget Sum-1'!W62</f>
        <v>37756455</v>
      </c>
      <c r="D22" s="12">
        <f>'PCFP-All Expense AA-1 Modifd-1'!J3</f>
        <v>29397220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idden="1" x14ac:dyDescent="0.2">
      <c r="A23" s="3">
        <v>200</v>
      </c>
      <c r="B23" s="3" t="s">
        <v>135</v>
      </c>
      <c r="C23" s="12">
        <f>'19_20 District Budget Sum-1'!W63</f>
        <v>16441364</v>
      </c>
      <c r="D23" s="12">
        <f>'PCFP-All Expense AA-1 Modifd-1'!J4</f>
        <v>11000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idden="1" x14ac:dyDescent="0.2">
      <c r="A24" s="3" t="s">
        <v>10</v>
      </c>
      <c r="B24" s="3" t="s">
        <v>136</v>
      </c>
      <c r="C24" s="12">
        <f>'19_20 District Budget Sum-1'!W64</f>
        <v>0</v>
      </c>
      <c r="D24" s="12">
        <f>'PCFP-All Expense AA-1 Modifd-1'!J5</f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idden="1" x14ac:dyDescent="0.2">
      <c r="A25" s="3">
        <v>270</v>
      </c>
      <c r="B25" s="3" t="s">
        <v>137</v>
      </c>
      <c r="C25" s="12">
        <f>'19_20 District Budget Sum-1'!W65</f>
        <v>319268</v>
      </c>
      <c r="D25" s="12">
        <f>'PCFP-All Expense AA-1 Modifd-1'!J6</f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idden="1" x14ac:dyDescent="0.2">
      <c r="A26" s="3" t="s">
        <v>10</v>
      </c>
      <c r="B26" s="3" t="s">
        <v>138</v>
      </c>
      <c r="C26" s="12">
        <f>'19_20 District Budget Sum-1'!W66</f>
        <v>0</v>
      </c>
      <c r="D26" s="12">
        <f>'PCFP-All Expense AA-1 Modifd-1'!J7</f>
        <v>745337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idden="1" x14ac:dyDescent="0.2">
      <c r="A27" s="3">
        <v>300</v>
      </c>
      <c r="B27" s="3" t="s">
        <v>139</v>
      </c>
      <c r="C27" s="12">
        <f>'19_20 District Budget Sum-1'!W67</f>
        <v>3954894</v>
      </c>
      <c r="D27" s="12">
        <f>'PCFP-All Expense AA-1 Modifd-1'!J8</f>
        <v>2802411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idden="1" x14ac:dyDescent="0.2">
      <c r="A28" s="3">
        <v>400</v>
      </c>
      <c r="B28" s="3" t="s">
        <v>140</v>
      </c>
      <c r="C28" s="12">
        <f>'19_20 District Budget Sum-1'!W68</f>
        <v>3943743</v>
      </c>
      <c r="D28" s="12">
        <f>'PCFP-All Expense AA-1 Modifd-1'!J9</f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idden="1" x14ac:dyDescent="0.2">
      <c r="A29" s="3" t="s">
        <v>10</v>
      </c>
      <c r="B29" s="3" t="s">
        <v>141</v>
      </c>
      <c r="C29" s="12">
        <f>'19_20 District Budget Sum-1'!W69</f>
        <v>0</v>
      </c>
      <c r="D29" s="12">
        <f>'PCFP-All Expense AA-1 Modifd-1'!J10</f>
        <v>2124082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idden="1" x14ac:dyDescent="0.2">
      <c r="A30" s="3" t="s">
        <v>10</v>
      </c>
      <c r="B30" s="3" t="s">
        <v>142</v>
      </c>
      <c r="C30" s="12">
        <f>'19_20 District Budget Sum-1'!W70</f>
        <v>0</v>
      </c>
      <c r="D30" s="12">
        <f>'PCFP-All Expense AA-1 Modifd-1'!J11</f>
        <v>1271014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idden="1" x14ac:dyDescent="0.2">
      <c r="A31" s="3">
        <v>440</v>
      </c>
      <c r="B31" s="3" t="s">
        <v>143</v>
      </c>
      <c r="C31" s="12">
        <f>'19_20 District Budget Sum-1'!W71</f>
        <v>0</v>
      </c>
      <c r="D31" s="12">
        <f>'PCFP-All Expense AA-1 Modifd-1'!J12</f>
        <v>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idden="1" x14ac:dyDescent="0.2">
      <c r="A32" s="3">
        <v>500</v>
      </c>
      <c r="B32" s="3" t="s">
        <v>144</v>
      </c>
      <c r="C32" s="12">
        <f>'19_20 District Budget Sum-1'!W72</f>
        <v>0</v>
      </c>
      <c r="D32" s="12">
        <f>'PCFP-All Expense AA-1 Modifd-1'!J13</f>
        <v>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idden="1" x14ac:dyDescent="0.2">
      <c r="A33" s="3">
        <v>600</v>
      </c>
      <c r="B33" s="3" t="s">
        <v>145</v>
      </c>
      <c r="C33" s="12">
        <f>'19_20 District Budget Sum-1'!W73</f>
        <v>1390179</v>
      </c>
      <c r="D33" s="12">
        <f>'PCFP-All Expense AA-1 Modifd-1'!J14</f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idden="1" x14ac:dyDescent="0.2">
      <c r="A34" s="3">
        <v>800</v>
      </c>
      <c r="B34" s="3" t="s">
        <v>146</v>
      </c>
      <c r="C34" s="12">
        <f>'19_20 District Budget Sum-1'!W74</f>
        <v>94726</v>
      </c>
      <c r="D34" s="12">
        <f>'PCFP-All Expense AA-1 Modifd-1'!J15</f>
        <v>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idden="1" x14ac:dyDescent="0.2">
      <c r="A35" s="3">
        <v>910</v>
      </c>
      <c r="B35" s="3" t="s">
        <v>147</v>
      </c>
      <c r="C35" s="12">
        <f>'19_20 District Budget Sum-1'!W75</f>
        <v>184277</v>
      </c>
      <c r="D35" s="12">
        <f>'PCFP-All Expense AA-1 Modifd-1'!J16</f>
        <v>54226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idden="1" x14ac:dyDescent="0.2">
      <c r="A36" s="3">
        <v>920</v>
      </c>
      <c r="B36" s="3" t="s">
        <v>148</v>
      </c>
      <c r="C36" s="12">
        <f>'19_20 District Budget Sum-1'!W76</f>
        <v>521087</v>
      </c>
      <c r="D36" s="12">
        <f>'PCFP-All Expense AA-1 Modifd-1'!J17</f>
        <v>705364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x14ac:dyDescent="0.2">
      <c r="A37" s="3"/>
      <c r="B37" s="3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2">
      <c r="A38" s="3" t="s">
        <v>149</v>
      </c>
      <c r="B38" s="3" t="s">
        <v>150</v>
      </c>
      <c r="C38" s="12">
        <f>SUM(C39:C65)</f>
        <v>91470794</v>
      </c>
      <c r="D38" s="12">
        <f>SUM(D39:D65)</f>
        <v>37981677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idden="1" x14ac:dyDescent="0.2">
      <c r="A39" s="3">
        <v>2100</v>
      </c>
      <c r="B39" s="3" t="s">
        <v>151</v>
      </c>
      <c r="C39" s="12">
        <f>'19_20 District Budget Sum-1'!W79</f>
        <v>4803629</v>
      </c>
      <c r="D39" s="12">
        <f>'PCFP-All Expense AA-1 Modifd-1'!J21</f>
        <v>3639403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idden="1" x14ac:dyDescent="0.2">
      <c r="A40" s="3">
        <v>2200</v>
      </c>
      <c r="B40" s="3" t="s">
        <v>152</v>
      </c>
      <c r="C40" s="12">
        <f>'19_20 District Budget Sum-1'!W80</f>
        <v>2704501</v>
      </c>
      <c r="D40" s="12">
        <f>'PCFP-All Expense AA-1 Modifd-1'!J22</f>
        <v>1975764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idden="1" x14ac:dyDescent="0.2">
      <c r="A41" s="3">
        <v>2300</v>
      </c>
      <c r="B41" s="3" t="s">
        <v>153</v>
      </c>
      <c r="C41" s="12">
        <f>'19_20 District Budget Sum-1'!W81</f>
        <v>582739</v>
      </c>
      <c r="D41" s="12">
        <f>'PCFP-All Expense AA-1 Modifd-1'!J23</f>
        <v>582739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idden="1" x14ac:dyDescent="0.2">
      <c r="A42" s="3">
        <v>2400</v>
      </c>
      <c r="B42" s="3" t="s">
        <v>154</v>
      </c>
      <c r="C42" s="12">
        <f>'19_20 District Budget Sum-1'!W82</f>
        <v>4552443</v>
      </c>
      <c r="D42" s="12">
        <f>'PCFP-All Expense AA-1 Modifd-1'!J24</f>
        <v>4552443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idden="1" x14ac:dyDescent="0.2">
      <c r="A43" s="3">
        <v>2500</v>
      </c>
      <c r="B43" s="3" t="s">
        <v>155</v>
      </c>
      <c r="C43" s="12">
        <f>'19_20 District Budget Sum-1'!W83</f>
        <v>4426487</v>
      </c>
      <c r="D43" s="12">
        <f>'PCFP-All Expense AA-1 Modifd-1'!J25</f>
        <v>4426487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idden="1" x14ac:dyDescent="0.2">
      <c r="A44" s="3">
        <v>2600</v>
      </c>
      <c r="B44" s="3" t="s">
        <v>156</v>
      </c>
      <c r="C44" s="12">
        <f>'19_20 District Budget Sum-1'!W84</f>
        <v>6673978</v>
      </c>
      <c r="D44" s="12">
        <f>'PCFP-All Expense AA-1 Modifd-1'!J26</f>
        <v>6667478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idden="1" x14ac:dyDescent="0.2">
      <c r="A45" s="3">
        <v>2700</v>
      </c>
      <c r="B45" s="3" t="s">
        <v>157</v>
      </c>
      <c r="C45" s="12">
        <f>'19_20 District Budget Sum-1'!W85</f>
        <v>2078977</v>
      </c>
      <c r="D45" s="12">
        <f>'PCFP-All Expense AA-1 Modifd-1'!J27</f>
        <v>1937971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idden="1" x14ac:dyDescent="0.2">
      <c r="A46" s="3">
        <v>2900</v>
      </c>
      <c r="B46" s="3" t="s">
        <v>158</v>
      </c>
      <c r="C46" s="12">
        <f>'19_20 District Budget Sum-1'!W86</f>
        <v>1501908</v>
      </c>
      <c r="D46" s="12">
        <f>'PCFP-All Expense AA-1 Modifd-1'!J28</f>
        <v>80071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idden="1" x14ac:dyDescent="0.2">
      <c r="A47" s="3">
        <v>3000</v>
      </c>
      <c r="B47" s="3" t="s">
        <v>159</v>
      </c>
      <c r="C47" s="12">
        <f>'19_20 District Budget Sum-1'!W87</f>
        <v>80071</v>
      </c>
      <c r="D47" s="12">
        <f>'PCFP-All Expense AA-1 Modifd-1'!J29</f>
        <v>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idden="1" x14ac:dyDescent="0.2">
      <c r="A48" s="3">
        <v>3100</v>
      </c>
      <c r="B48" s="3" t="s">
        <v>160</v>
      </c>
      <c r="C48" s="12">
        <f>'19_20 District Budget Sum-1'!W88</f>
        <v>3254000</v>
      </c>
      <c r="D48" s="12">
        <f>'PCFP-All Expense AA-1 Modifd-1'!J30</f>
        <v>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idden="1" x14ac:dyDescent="0.2">
      <c r="A49" s="3">
        <v>3200</v>
      </c>
      <c r="B49" s="3" t="s">
        <v>161</v>
      </c>
      <c r="C49" s="12">
        <f>'19_20 District Budget Sum-1'!W89</f>
        <v>0</v>
      </c>
      <c r="D49" s="12">
        <f>'PCFP-All Expense AA-1 Modifd-1'!J31</f>
        <v>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idden="1" x14ac:dyDescent="0.2">
      <c r="A50" s="3">
        <v>3300</v>
      </c>
      <c r="B50" s="3" t="s">
        <v>162</v>
      </c>
      <c r="C50" s="12">
        <f>'19_20 District Budget Sum-1'!W90</f>
        <v>0</v>
      </c>
      <c r="D50" s="12">
        <f>'PCFP-All Expense AA-1 Modifd-1'!J32</f>
        <v>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idden="1" x14ac:dyDescent="0.2">
      <c r="A51" s="3">
        <v>4100</v>
      </c>
      <c r="B51" s="3" t="s">
        <v>163</v>
      </c>
      <c r="C51" s="12">
        <f>'19_20 District Budget Sum-1'!W91</f>
        <v>0</v>
      </c>
      <c r="D51" s="12">
        <f>'PCFP-All Expense AA-1 Modifd-1'!J33</f>
        <v>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idden="1" x14ac:dyDescent="0.2">
      <c r="A52" s="3">
        <v>4000</v>
      </c>
      <c r="B52" s="3" t="s">
        <v>164</v>
      </c>
      <c r="C52" s="12">
        <f>'19_20 District Budget Sum-1'!W92</f>
        <v>0</v>
      </c>
      <c r="D52" s="12">
        <f>'PCFP-All Expense AA-1 Modifd-1'!J34</f>
        <v>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idden="1" x14ac:dyDescent="0.2">
      <c r="A53" s="3">
        <v>4200</v>
      </c>
      <c r="B53" s="3" t="s">
        <v>165</v>
      </c>
      <c r="C53" s="12">
        <f>'19_20 District Budget Sum-1'!W93</f>
        <v>0</v>
      </c>
      <c r="D53" s="12">
        <f>'PCFP-All Expense AA-1 Modifd-1'!J35</f>
        <v>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idden="1" x14ac:dyDescent="0.2">
      <c r="A54" s="3">
        <v>4300</v>
      </c>
      <c r="B54" s="3" t="s">
        <v>166</v>
      </c>
      <c r="C54" s="12">
        <f>'19_20 District Budget Sum-1'!W94</f>
        <v>0</v>
      </c>
      <c r="D54" s="12">
        <f>'PCFP-All Expense AA-1 Modifd-1'!J36</f>
        <v>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idden="1" x14ac:dyDescent="0.2">
      <c r="A55" s="3">
        <v>4400</v>
      </c>
      <c r="B55" s="3" t="s">
        <v>167</v>
      </c>
      <c r="C55" s="12">
        <f>'19_20 District Budget Sum-1'!W95</f>
        <v>0</v>
      </c>
      <c r="D55" s="12">
        <f>'PCFP-All Expense AA-1 Modifd-1'!J37</f>
        <v>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idden="1" x14ac:dyDescent="0.2">
      <c r="A56" s="3">
        <v>4500</v>
      </c>
      <c r="B56" s="3" t="s">
        <v>168</v>
      </c>
      <c r="C56" s="12">
        <f>'19_20 District Budget Sum-1'!W96</f>
        <v>0</v>
      </c>
      <c r="D56" s="12">
        <f>'PCFP-All Expense AA-1 Modifd-1'!J38</f>
        <v>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idden="1" x14ac:dyDescent="0.2">
      <c r="A57" s="3">
        <v>4600</v>
      </c>
      <c r="B57" s="3" t="s">
        <v>169</v>
      </c>
      <c r="C57" s="12">
        <f>'19_20 District Budget Sum-1'!W97</f>
        <v>0</v>
      </c>
      <c r="D57" s="12">
        <f>'PCFP-All Expense AA-1 Modifd-1'!J39</f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idden="1" x14ac:dyDescent="0.2">
      <c r="A58" s="3">
        <v>4700</v>
      </c>
      <c r="B58" s="3" t="s">
        <v>170</v>
      </c>
      <c r="C58" s="12">
        <f>'19_20 District Budget Sum-1'!W98</f>
        <v>24440641</v>
      </c>
      <c r="D58" s="12">
        <f>'PCFP-All Expense AA-1 Modifd-1'!J40</f>
        <v>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idden="1" x14ac:dyDescent="0.2">
      <c r="A59" s="3">
        <v>4900</v>
      </c>
      <c r="B59" s="3" t="s">
        <v>171</v>
      </c>
      <c r="C59" s="12">
        <f>'19_20 District Budget Sum-1'!W99</f>
        <v>0</v>
      </c>
      <c r="D59" s="12">
        <f>'PCFP-All Expense AA-1 Modifd-1'!J41</f>
        <v>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idden="1" x14ac:dyDescent="0.2">
      <c r="A60" s="3">
        <v>5000</v>
      </c>
      <c r="B60" s="3" t="s">
        <v>172</v>
      </c>
      <c r="C60" s="12">
        <f>'19_20 District Budget Sum-1'!W100</f>
        <v>0</v>
      </c>
      <c r="D60" s="12">
        <f>'PCFP-All Expense AA-1 Modifd-1'!J42</f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idden="1" x14ac:dyDescent="0.2">
      <c r="A61" s="3">
        <v>5000</v>
      </c>
      <c r="B61" s="3" t="s">
        <v>173</v>
      </c>
      <c r="C61" s="12">
        <f>'19_20 District Budget Sum-1'!W101</f>
        <v>6641079</v>
      </c>
      <c r="D61" s="12">
        <f>'PCFP-All Expense AA-1 Modifd-1'!J43</f>
        <v>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idden="1" x14ac:dyDescent="0.2">
      <c r="A62" s="3">
        <v>6100</v>
      </c>
      <c r="B62" s="3" t="s">
        <v>174</v>
      </c>
      <c r="C62" s="12">
        <f>'19_20 District Budget Sum-1'!W102</f>
        <v>0</v>
      </c>
      <c r="D62" s="12">
        <f>'PCFP-All Expense AA-1 Modifd-1'!J44</f>
        <v>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idden="1" x14ac:dyDescent="0.2">
      <c r="A63" s="3">
        <v>6200</v>
      </c>
      <c r="B63" s="3" t="s">
        <v>175</v>
      </c>
      <c r="C63" s="12">
        <f>'19_20 District Budget Sum-1'!W103</f>
        <v>8428493</v>
      </c>
      <c r="D63" s="12">
        <f>'PCFP-All Expense AA-1 Modifd-1'!J45</f>
        <v>153282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idden="1" x14ac:dyDescent="0.2">
      <c r="A64" s="3">
        <v>6300</v>
      </c>
      <c r="B64" s="3" t="s">
        <v>176</v>
      </c>
      <c r="C64" s="12">
        <f>'19_20 District Budget Sum-1'!W104</f>
        <v>1000000</v>
      </c>
      <c r="D64" s="12">
        <f>'PCFP-All Expense AA-1 Modifd-1'!J46</f>
        <v>1000000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idden="1" x14ac:dyDescent="0.2">
      <c r="A65" s="3">
        <v>8000</v>
      </c>
      <c r="B65" s="3" t="s">
        <v>177</v>
      </c>
      <c r="C65" s="12">
        <f>'19_20 District Budget Sum-1'!W105</f>
        <v>20301848</v>
      </c>
      <c r="D65" s="12">
        <f>'PCFP-All Expense AA-1 Modifd-1'!J47</f>
        <v>12966039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2">
      <c r="A66" s="3"/>
      <c r="B66" s="3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s="2" customFormat="1" x14ac:dyDescent="0.2">
      <c r="A67" s="3"/>
      <c r="B67" s="3" t="str">
        <f>'PCFP-All Expense AA-1 Modifd-1'!A52</f>
        <v>DEBT SERVICE</v>
      </c>
      <c r="C67" s="19">
        <v>0</v>
      </c>
      <c r="D67" s="19">
        <f>'PCFP-All Expense AA-1 Modifd-1'!J52</f>
        <v>10796553</v>
      </c>
      <c r="E67" s="12"/>
    </row>
    <row r="68" spans="1:23" x14ac:dyDescent="0.2">
      <c r="A68" s="3"/>
      <c r="B68" s="3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x14ac:dyDescent="0.2">
      <c r="A69" s="33"/>
      <c r="B69" s="3" t="s">
        <v>178</v>
      </c>
      <c r="C69" s="12">
        <f>SUM(C70:C159)</f>
        <v>-7046262</v>
      </c>
      <c r="D69" s="12">
        <f>SUM(D70:D159)</f>
        <v>64069588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idden="1" x14ac:dyDescent="0.2">
      <c r="B70" t="s">
        <v>179</v>
      </c>
      <c r="C70" s="12">
        <f>'19_20 District Budget Sum-1'!W108</f>
        <v>0</v>
      </c>
      <c r="D70" s="12">
        <f>'PCFP-All Expense AA-1 Modifd-1'!J56</f>
        <v>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idden="1" x14ac:dyDescent="0.2">
      <c r="B71" t="s">
        <v>145</v>
      </c>
      <c r="C71" s="12">
        <f>'19_20 District Budget Sum-1'!W109</f>
        <v>0</v>
      </c>
      <c r="D71" s="12">
        <f>'PCFP-All Expense AA-1 Modifd-1'!J57</f>
        <v>407324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idden="1" x14ac:dyDescent="0.2">
      <c r="B72" t="s">
        <v>180</v>
      </c>
      <c r="C72" s="12">
        <f>'19_20 District Budget Sum-1'!W110</f>
        <v>0</v>
      </c>
      <c r="D72" s="12">
        <f>'PCFP-All Expense AA-1 Modifd-1'!J58</f>
        <v>982855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idden="1" x14ac:dyDescent="0.2">
      <c r="B73" t="s">
        <v>181</v>
      </c>
      <c r="C73" s="12">
        <f>'19_20 District Budget Sum-1'!W111</f>
        <v>0</v>
      </c>
      <c r="D73" s="12">
        <f>'PCFP-All Expense AA-1 Modifd-1'!J59</f>
        <v>0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idden="1" x14ac:dyDescent="0.2">
      <c r="B74" t="s">
        <v>182</v>
      </c>
      <c r="C74" s="12">
        <f>'19_20 District Budget Sum-1'!W112</f>
        <v>0</v>
      </c>
      <c r="D74" s="12">
        <f>'PCFP-All Expense AA-1 Modifd-1'!J60</f>
        <v>22900641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idden="1" x14ac:dyDescent="0.2">
      <c r="B75" t="s">
        <v>183</v>
      </c>
      <c r="C75" s="12">
        <f>'19_20 District Budget Sum-1'!W113</f>
        <v>0</v>
      </c>
      <c r="D75" s="12">
        <f>'PCFP-All Expense AA-1 Modifd-1'!J61</f>
        <v>0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idden="1" x14ac:dyDescent="0.2">
      <c r="B76" t="s">
        <v>184</v>
      </c>
      <c r="C76" s="12">
        <f>'19_20 District Budget Sum-1'!W114</f>
        <v>0</v>
      </c>
      <c r="D76" s="12">
        <f>'PCFP-All Expense AA-1 Modifd-1'!J62</f>
        <v>0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idden="1" x14ac:dyDescent="0.2">
      <c r="B77" t="s">
        <v>185</v>
      </c>
      <c r="C77" s="12">
        <f>'19_20 District Budget Sum-1'!W115</f>
        <v>0</v>
      </c>
      <c r="D77" s="12">
        <f>'PCFP-All Expense AA-1 Modifd-1'!J63</f>
        <v>0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idden="1" x14ac:dyDescent="0.2">
      <c r="B78" t="s">
        <v>186</v>
      </c>
      <c r="C78" s="12">
        <f>'19_20 District Budget Sum-1'!W116</f>
        <v>0</v>
      </c>
      <c r="D78" s="12">
        <f>'PCFP-All Expense AA-1 Modifd-1'!J64</f>
        <v>0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idden="1" x14ac:dyDescent="0.2">
      <c r="B79" t="s">
        <v>187</v>
      </c>
      <c r="C79" s="12">
        <f>'19_20 District Budget Sum-1'!W117</f>
        <v>0</v>
      </c>
      <c r="D79" s="12">
        <f>'PCFP-All Expense AA-1 Modifd-1'!J65</f>
        <v>0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idden="1" x14ac:dyDescent="0.2">
      <c r="B80" t="s">
        <v>188</v>
      </c>
      <c r="C80" s="12">
        <f>'19_20 District Budget Sum-1'!W118</f>
        <v>-350000</v>
      </c>
      <c r="D80" s="12">
        <f>'PCFP-All Expense AA-1 Modifd-1'!J66</f>
        <v>0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2:23" hidden="1" x14ac:dyDescent="0.2">
      <c r="B81" t="s">
        <v>189</v>
      </c>
      <c r="C81" s="12">
        <f>'19_20 District Budget Sum-1'!W119</f>
        <v>0</v>
      </c>
      <c r="D81" s="12">
        <f>'PCFP-All Expense AA-1 Modifd-1'!J67</f>
        <v>0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2:23" hidden="1" x14ac:dyDescent="0.2">
      <c r="B82" t="s">
        <v>190</v>
      </c>
      <c r="C82" s="12">
        <f>'19_20 District Budget Sum-1'!W120</f>
        <v>0</v>
      </c>
      <c r="D82" s="12">
        <f>'PCFP-All Expense AA-1 Modifd-1'!J68</f>
        <v>1851966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2:23" hidden="1" x14ac:dyDescent="0.2">
      <c r="B83" t="s">
        <v>191</v>
      </c>
      <c r="C83" s="12">
        <f>'19_20 District Budget Sum-1'!W121</f>
        <v>-219723</v>
      </c>
      <c r="D83" s="12">
        <f>'PCFP-All Expense AA-1 Modifd-1'!J69</f>
        <v>2896899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2:23" hidden="1" x14ac:dyDescent="0.2">
      <c r="B84" t="s">
        <v>192</v>
      </c>
      <c r="C84" s="12">
        <f>'19_20 District Budget Sum-1'!W122</f>
        <v>0</v>
      </c>
      <c r="D84" s="12">
        <f>'PCFP-All Expense AA-1 Modifd-1'!J70</f>
        <v>0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2:23" hidden="1" x14ac:dyDescent="0.2">
      <c r="B85" t="s">
        <v>193</v>
      </c>
      <c r="C85" s="12">
        <f>'19_20 District Budget Sum-1'!W123</f>
        <v>0</v>
      </c>
      <c r="D85" s="12">
        <f>'PCFP-All Expense AA-1 Modifd-1'!J71</f>
        <v>0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2:23" hidden="1" x14ac:dyDescent="0.2">
      <c r="B86" t="s">
        <v>194</v>
      </c>
      <c r="C86" s="12">
        <f>'19_20 District Budget Sum-1'!W124</f>
        <v>0</v>
      </c>
      <c r="D86" s="12">
        <f>'PCFP-All Expense AA-1 Modifd-1'!J72</f>
        <v>0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2:23" hidden="1" x14ac:dyDescent="0.2">
      <c r="B87" t="s">
        <v>195</v>
      </c>
      <c r="C87" s="12">
        <f>'19_20 District Budget Sum-1'!W125</f>
        <v>0</v>
      </c>
      <c r="D87" s="12">
        <f>'PCFP-All Expense AA-1 Modifd-1'!J73</f>
        <v>0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2:23" hidden="1" x14ac:dyDescent="0.2">
      <c r="B88" t="s">
        <v>196</v>
      </c>
      <c r="C88" s="12">
        <f>'19_20 District Budget Sum-1'!W126</f>
        <v>0</v>
      </c>
      <c r="D88" s="12">
        <f>'PCFP-All Expense AA-1 Modifd-1'!J74</f>
        <v>0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2:23" hidden="1" x14ac:dyDescent="0.2">
      <c r="B89" t="s">
        <v>197</v>
      </c>
      <c r="C89" s="12">
        <f>'19_20 District Budget Sum-1'!W127</f>
        <v>0</v>
      </c>
      <c r="D89" s="12">
        <f>'PCFP-All Expense AA-1 Modifd-1'!J75</f>
        <v>0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2:23" hidden="1" x14ac:dyDescent="0.2">
      <c r="B90" t="s">
        <v>198</v>
      </c>
      <c r="C90" s="12">
        <f>'19_20 District Budget Sum-1'!W128</f>
        <v>0</v>
      </c>
      <c r="D90" s="12">
        <f>'PCFP-All Expense AA-1 Modifd-1'!J76</f>
        <v>0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2:23" hidden="1" x14ac:dyDescent="0.2">
      <c r="B91" t="s">
        <v>199</v>
      </c>
      <c r="C91" s="12">
        <f>'19_20 District Budget Sum-1'!W129</f>
        <v>0</v>
      </c>
      <c r="D91" s="12">
        <f>'PCFP-All Expense AA-1 Modifd-1'!J77</f>
        <v>0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2:23" hidden="1" x14ac:dyDescent="0.2">
      <c r="B92" t="s">
        <v>173</v>
      </c>
      <c r="C92" s="12">
        <f>'19_20 District Budget Sum-1'!W130</f>
        <v>-303770</v>
      </c>
      <c r="D92" s="12">
        <f>'PCFP-All Expense AA-1 Modifd-1'!J78</f>
        <v>0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2:23" hidden="1" x14ac:dyDescent="0.2">
      <c r="B93" t="s">
        <v>200</v>
      </c>
      <c r="C93" s="12">
        <f>'19_20 District Budget Sum-1'!W131</f>
        <v>0</v>
      </c>
      <c r="D93" s="12">
        <f>'PCFP-All Expense AA-1 Modifd-1'!J79</f>
        <v>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2:23" hidden="1" x14ac:dyDescent="0.2">
      <c r="B94" t="s">
        <v>201</v>
      </c>
      <c r="C94" s="12">
        <f>'19_20 District Budget Sum-1'!W132</f>
        <v>0</v>
      </c>
      <c r="D94" s="12">
        <f>'PCFP-All Expense AA-1 Modifd-1'!J80</f>
        <v>0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2:23" hidden="1" x14ac:dyDescent="0.2">
      <c r="B95" t="s">
        <v>202</v>
      </c>
      <c r="C95" s="12">
        <f>'19_20 District Budget Sum-1'!W133</f>
        <v>0</v>
      </c>
      <c r="D95" s="12">
        <f>'PCFP-All Expense AA-1 Modifd-1'!J81</f>
        <v>0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2:23" hidden="1" x14ac:dyDescent="0.2">
      <c r="B96" t="s">
        <v>203</v>
      </c>
      <c r="C96" s="12">
        <f>'19_20 District Budget Sum-1'!W134</f>
        <v>0</v>
      </c>
      <c r="D96" s="12">
        <f>'PCFP-All Expense AA-1 Modifd-1'!J82</f>
        <v>0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2:23" hidden="1" x14ac:dyDescent="0.2">
      <c r="B97" t="s">
        <v>204</v>
      </c>
      <c r="C97" s="12">
        <f>'19_20 District Budget Sum-1'!W135</f>
        <v>0</v>
      </c>
      <c r="D97" s="12">
        <f>'PCFP-All Expense AA-1 Modifd-1'!J83</f>
        <v>6200000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2:23" hidden="1" x14ac:dyDescent="0.2">
      <c r="B98" t="s">
        <v>205</v>
      </c>
      <c r="C98" s="12">
        <f>'19_20 District Budget Sum-1'!W136</f>
        <v>0</v>
      </c>
      <c r="D98" s="12">
        <f>'PCFP-All Expense AA-1 Modifd-1'!J84</f>
        <v>0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2:23" hidden="1" x14ac:dyDescent="0.2">
      <c r="B99" t="s">
        <v>206</v>
      </c>
      <c r="C99" s="12">
        <f>'19_20 District Budget Sum-1'!W137</f>
        <v>0</v>
      </c>
      <c r="D99" s="12">
        <f>'PCFP-All Expense AA-1 Modifd-1'!J85</f>
        <v>0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2:23" hidden="1" x14ac:dyDescent="0.2">
      <c r="B100" t="s">
        <v>207</v>
      </c>
      <c r="C100" s="12">
        <f>'19_20 District Budget Sum-1'!W138</f>
        <v>0</v>
      </c>
      <c r="D100" s="12">
        <f>'PCFP-All Expense AA-1 Modifd-1'!J86</f>
        <v>0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2:23" hidden="1" x14ac:dyDescent="0.2">
      <c r="B101" t="s">
        <v>208</v>
      </c>
      <c r="C101" s="12">
        <f>'19_20 District Budget Sum-1'!W139</f>
        <v>0</v>
      </c>
      <c r="D101" s="12">
        <f>'PCFP-All Expense AA-1 Modifd-1'!J87</f>
        <v>200000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2:23" hidden="1" x14ac:dyDescent="0.2">
      <c r="B102" t="s">
        <v>209</v>
      </c>
      <c r="C102" s="12">
        <f>'19_20 District Budget Sum-1'!W140</f>
        <v>0</v>
      </c>
      <c r="D102" s="12">
        <f>'PCFP-All Expense AA-1 Modifd-1'!J88</f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2:23" hidden="1" x14ac:dyDescent="0.2">
      <c r="B103" t="s">
        <v>210</v>
      </c>
      <c r="C103" s="12">
        <f>'19_20 District Budget Sum-1'!W141</f>
        <v>0</v>
      </c>
      <c r="D103" s="12">
        <f>'PCFP-All Expense AA-1 Modifd-1'!J89</f>
        <v>0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2:23" hidden="1" x14ac:dyDescent="0.2">
      <c r="B104" t="s">
        <v>211</v>
      </c>
      <c r="C104" s="12">
        <f>'19_20 District Budget Sum-1'!W142</f>
        <v>0</v>
      </c>
      <c r="D104" s="12">
        <f>'PCFP-All Expense AA-1 Modifd-1'!J90</f>
        <v>0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2:23" hidden="1" x14ac:dyDescent="0.2">
      <c r="B105" t="s">
        <v>212</v>
      </c>
      <c r="C105" s="12">
        <f>'19_20 District Budget Sum-1'!W143</f>
        <v>0</v>
      </c>
      <c r="D105" s="12">
        <f>'PCFP-All Expense AA-1 Modifd-1'!J91</f>
        <v>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2:23" hidden="1" x14ac:dyDescent="0.2">
      <c r="B106" t="s">
        <v>213</v>
      </c>
      <c r="C106" s="12">
        <f>'19_20 District Budget Sum-1'!W144</f>
        <v>0</v>
      </c>
      <c r="D106" s="12">
        <f>'PCFP-All Expense AA-1 Modifd-1'!J92</f>
        <v>0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2:23" hidden="1" x14ac:dyDescent="0.2">
      <c r="B107" t="s">
        <v>214</v>
      </c>
      <c r="C107" s="12">
        <f>'19_20 District Budget Sum-1'!W145</f>
        <v>0</v>
      </c>
      <c r="D107" s="12">
        <f>'PCFP-All Expense AA-1 Modifd-1'!J93</f>
        <v>126976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2:23" hidden="1" x14ac:dyDescent="0.2">
      <c r="B108" t="s">
        <v>215</v>
      </c>
      <c r="C108" s="12">
        <f>'19_20 District Budget Sum-1'!W146</f>
        <v>0</v>
      </c>
      <c r="D108" s="12">
        <f>'PCFP-All Expense AA-1 Modifd-1'!J94</f>
        <v>699346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2:23" hidden="1" x14ac:dyDescent="0.2">
      <c r="B109" t="s">
        <v>216</v>
      </c>
      <c r="C109" s="12">
        <f>'19_20 District Budget Sum-1'!W147</f>
        <v>0</v>
      </c>
      <c r="D109" s="12">
        <f>'PCFP-All Expense AA-1 Modifd-1'!J95</f>
        <v>0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2:23" hidden="1" x14ac:dyDescent="0.2">
      <c r="B110" t="s">
        <v>217</v>
      </c>
      <c r="C110" s="12">
        <f>'19_20 District Budget Sum-1'!W148</f>
        <v>0</v>
      </c>
      <c r="D110" s="12">
        <f>'PCFP-All Expense AA-1 Modifd-1'!J96</f>
        <v>0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2:23" hidden="1" x14ac:dyDescent="0.2">
      <c r="B111" t="s">
        <v>218</v>
      </c>
      <c r="C111" s="12">
        <f>'19_20 District Budget Sum-1'!W149</f>
        <v>-305000</v>
      </c>
      <c r="D111" s="12">
        <f>'PCFP-All Expense AA-1 Modifd-1'!J97</f>
        <v>3155696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2:23" hidden="1" x14ac:dyDescent="0.2">
      <c r="B112" t="s">
        <v>219</v>
      </c>
      <c r="C112" s="12">
        <f>'19_20 District Budget Sum-1'!W150</f>
        <v>0</v>
      </c>
      <c r="D112" s="12">
        <f>'PCFP-All Expense AA-1 Modifd-1'!J98</f>
        <v>0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idden="1" x14ac:dyDescent="0.2">
      <c r="B113" t="s">
        <v>220</v>
      </c>
      <c r="C113" s="12">
        <f>'19_20 District Budget Sum-1'!W151</f>
        <v>0</v>
      </c>
      <c r="D113" s="12">
        <f>'PCFP-All Expense AA-1 Modifd-1'!J99</f>
        <v>0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idden="1" x14ac:dyDescent="0.2">
      <c r="B114" t="s">
        <v>221</v>
      </c>
      <c r="C114" s="12">
        <f>'19_20 District Budget Sum-1'!W152</f>
        <v>0</v>
      </c>
      <c r="D114" s="12">
        <f>'PCFP-All Expense AA-1 Modifd-1'!J100</f>
        <v>0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idden="1" x14ac:dyDescent="0.2">
      <c r="A115" s="2" t="s">
        <v>10</v>
      </c>
      <c r="B115" t="s">
        <v>142</v>
      </c>
      <c r="C115" s="12">
        <f>'19_20 District Budget Sum-1'!W153</f>
        <v>0</v>
      </c>
      <c r="D115" s="12">
        <f>'PCFP-All Expense AA-1 Modifd-1'!J101</f>
        <v>1347600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idden="1" x14ac:dyDescent="0.2">
      <c r="A116" s="2" t="s">
        <v>10</v>
      </c>
      <c r="B116" t="s">
        <v>141</v>
      </c>
      <c r="C116" s="12">
        <f>'19_20 District Budget Sum-1'!W154</f>
        <v>0</v>
      </c>
      <c r="D116" s="12">
        <f>'PCFP-All Expense AA-1 Modifd-1'!J102</f>
        <v>766880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idden="1" x14ac:dyDescent="0.2">
      <c r="A117" s="2" t="s">
        <v>33</v>
      </c>
      <c r="B117" t="s">
        <v>222</v>
      </c>
      <c r="C117" s="12">
        <f>'19_20 District Budget Sum-1'!W155</f>
        <v>0</v>
      </c>
      <c r="D117" s="12">
        <f>'PCFP-All Expense AA-1 Modifd-1'!J103</f>
        <v>1071959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idden="1" x14ac:dyDescent="0.2">
      <c r="A118" s="2" t="s">
        <v>10</v>
      </c>
      <c r="B118" t="s">
        <v>138</v>
      </c>
      <c r="C118" s="12">
        <f>'19_20 District Budget Sum-1'!W156</f>
        <v>0</v>
      </c>
      <c r="D118" s="12">
        <f>'PCFP-All Expense AA-1 Modifd-1'!J104</f>
        <v>356706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idden="1" x14ac:dyDescent="0.2">
      <c r="A119" s="2" t="s">
        <v>10</v>
      </c>
      <c r="B119" t="s">
        <v>136</v>
      </c>
      <c r="C119" s="12">
        <f>'19_20 District Budget Sum-1'!W157</f>
        <v>0</v>
      </c>
      <c r="D119" s="12">
        <f>'PCFP-All Expense AA-1 Modifd-1'!J105</f>
        <v>12857114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idden="1" x14ac:dyDescent="0.2">
      <c r="B120" t="s">
        <v>223</v>
      </c>
      <c r="C120" s="12">
        <f>'19_20 District Budget Sum-1'!W158</f>
        <v>0</v>
      </c>
      <c r="D120" s="12">
        <f>'PCFP-All Expense AA-1 Modifd-1'!J106</f>
        <v>0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idden="1" x14ac:dyDescent="0.2">
      <c r="B121" t="s">
        <v>224</v>
      </c>
      <c r="C121" s="12">
        <f>'19_20 District Budget Sum-1'!W159</f>
        <v>0</v>
      </c>
      <c r="D121" s="12">
        <f>'PCFP-All Expense AA-1 Modifd-1'!J107</f>
        <v>0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idden="1" x14ac:dyDescent="0.2">
      <c r="B122" t="s">
        <v>225</v>
      </c>
      <c r="C122" s="12">
        <f>'19_20 District Budget Sum-1'!W160</f>
        <v>0</v>
      </c>
      <c r="D122" s="12">
        <f>'PCFP-All Expense AA-1 Modifd-1'!J108</f>
        <v>0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idden="1" x14ac:dyDescent="0.2">
      <c r="B123" t="s">
        <v>226</v>
      </c>
      <c r="C123" s="12">
        <f>'19_20 District Budget Sum-1'!W161</f>
        <v>0</v>
      </c>
      <c r="D123" s="12">
        <f>'PCFP-All Expense AA-1 Modifd-1'!J109</f>
        <v>0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idden="1" x14ac:dyDescent="0.2">
      <c r="B124" t="s">
        <v>227</v>
      </c>
      <c r="C124" s="12">
        <f>'19_20 District Budget Sum-1'!W162</f>
        <v>0</v>
      </c>
      <c r="D124" s="12">
        <f>'PCFP-All Expense AA-1 Modifd-1'!J110</f>
        <v>0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idden="1" x14ac:dyDescent="0.2">
      <c r="B125" t="s">
        <v>228</v>
      </c>
      <c r="C125" s="12">
        <f>'19_20 District Budget Sum-1'!W163</f>
        <v>0</v>
      </c>
      <c r="D125" s="12">
        <f>'PCFP-All Expense AA-1 Modifd-1'!J111</f>
        <v>0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idden="1" x14ac:dyDescent="0.2">
      <c r="B126" t="s">
        <v>229</v>
      </c>
      <c r="C126" s="12">
        <f>'19_20 District Budget Sum-1'!W164</f>
        <v>0</v>
      </c>
      <c r="D126" s="12">
        <f>'PCFP-All Expense AA-1 Modifd-1'!J112</f>
        <v>0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idden="1" x14ac:dyDescent="0.2">
      <c r="B127" t="s">
        <v>230</v>
      </c>
      <c r="C127" s="12">
        <f>'19_20 District Budget Sum-1'!W165</f>
        <v>0</v>
      </c>
      <c r="D127" s="12">
        <f>'PCFP-All Expense AA-1 Modifd-1'!J113</f>
        <v>0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idden="1" x14ac:dyDescent="0.2">
      <c r="B128" t="s">
        <v>231</v>
      </c>
      <c r="C128" s="12">
        <f>'19_20 District Budget Sum-1'!W166</f>
        <v>0</v>
      </c>
      <c r="D128" s="12">
        <f>'PCFP-All Expense AA-1 Modifd-1'!J114</f>
        <v>0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2:23" hidden="1" x14ac:dyDescent="0.2">
      <c r="B129" t="s">
        <v>232</v>
      </c>
      <c r="C129" s="12">
        <f>'19_20 District Budget Sum-1'!W167</f>
        <v>0</v>
      </c>
      <c r="D129" s="12">
        <f>'PCFP-All Expense AA-1 Modifd-1'!J115</f>
        <v>0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2:23" hidden="1" x14ac:dyDescent="0.2">
      <c r="B130" t="s">
        <v>233</v>
      </c>
      <c r="C130" s="12">
        <f>'19_20 District Budget Sum-1'!W168</f>
        <v>0</v>
      </c>
      <c r="D130" s="12">
        <f>'PCFP-All Expense AA-1 Modifd-1'!J116</f>
        <v>0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2:23" hidden="1" x14ac:dyDescent="0.2">
      <c r="B131" t="s">
        <v>234</v>
      </c>
      <c r="C131" s="12">
        <f>'19_20 District Budget Sum-1'!W169</f>
        <v>0</v>
      </c>
      <c r="D131" s="12">
        <f>'PCFP-All Expense AA-1 Modifd-1'!J117</f>
        <v>0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2:23" hidden="1" x14ac:dyDescent="0.2">
      <c r="B132" t="s">
        <v>9</v>
      </c>
      <c r="C132" s="12">
        <f>'19_20 District Budget Sum-1'!W170</f>
        <v>-7600000</v>
      </c>
      <c r="D132" s="12">
        <f>'PCFP-All Expense AA-1 Modifd-1'!J118</f>
        <v>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2:23" hidden="1" x14ac:dyDescent="0.2">
      <c r="B133" t="s">
        <v>235</v>
      </c>
      <c r="C133" s="12">
        <f>'19_20 District Budget Sum-1'!W171</f>
        <v>0</v>
      </c>
      <c r="D133" s="12">
        <f>'PCFP-All Expense AA-1 Modifd-1'!J119</f>
        <v>0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2:23" hidden="1" x14ac:dyDescent="0.2">
      <c r="B134" t="s">
        <v>236</v>
      </c>
      <c r="C134" s="12">
        <f>'19_20 District Budget Sum-1'!W172</f>
        <v>0</v>
      </c>
      <c r="D134" s="12">
        <f>'PCFP-All Expense AA-1 Modifd-1'!J120</f>
        <v>1845659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2:23" hidden="1" x14ac:dyDescent="0.2">
      <c r="B135" t="s">
        <v>237</v>
      </c>
      <c r="C135" s="12">
        <f>'19_20 District Budget Sum-1'!W173</f>
        <v>0</v>
      </c>
      <c r="D135" s="12">
        <f>'PCFP-All Expense AA-1 Modifd-1'!J121</f>
        <v>0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2:23" hidden="1" x14ac:dyDescent="0.2">
      <c r="B136" t="s">
        <v>238</v>
      </c>
      <c r="C136" s="12">
        <f>'19_20 District Budget Sum-1'!W174</f>
        <v>0</v>
      </c>
      <c r="D136" s="12">
        <f>'PCFP-All Expense AA-1 Modifd-1'!J122</f>
        <v>0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2:23" hidden="1" x14ac:dyDescent="0.2">
      <c r="B137" t="s">
        <v>239</v>
      </c>
      <c r="C137" s="12">
        <f>'19_20 District Budget Sum-1'!W175</f>
        <v>0</v>
      </c>
      <c r="D137" s="12">
        <f>'PCFP-All Expense AA-1 Modifd-1'!J123</f>
        <v>77884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2:23" hidden="1" x14ac:dyDescent="0.2">
      <c r="B138" t="s">
        <v>240</v>
      </c>
      <c r="C138" s="12">
        <f>'19_20 District Budget Sum-1'!W176</f>
        <v>0</v>
      </c>
      <c r="D138" s="12">
        <f>'PCFP-All Expense AA-1 Modifd-1'!J124</f>
        <v>0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2:23" hidden="1" x14ac:dyDescent="0.2">
      <c r="B139" t="s">
        <v>241</v>
      </c>
      <c r="C139" s="12">
        <f>'19_20 District Budget Sum-1'!W177</f>
        <v>0</v>
      </c>
      <c r="D139" s="12">
        <f>'PCFP-All Expense AA-1 Modifd-1'!J125</f>
        <v>0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2:23" hidden="1" x14ac:dyDescent="0.2">
      <c r="B140" t="s">
        <v>242</v>
      </c>
      <c r="C140" s="12">
        <f>'19_20 District Budget Sum-1'!W178</f>
        <v>0</v>
      </c>
      <c r="D140" s="12">
        <f>'PCFP-All Expense AA-1 Modifd-1'!J126</f>
        <v>0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2:23" hidden="1" x14ac:dyDescent="0.2">
      <c r="B141" t="s">
        <v>243</v>
      </c>
      <c r="C141" s="12">
        <f>'19_20 District Budget Sum-1'!W179</f>
        <v>0</v>
      </c>
      <c r="D141" s="12">
        <f>'PCFP-All Expense AA-1 Modifd-1'!J127</f>
        <v>0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2:23" hidden="1" x14ac:dyDescent="0.2">
      <c r="B142" t="s">
        <v>244</v>
      </c>
      <c r="C142" s="12">
        <f>'19_20 District Budget Sum-1'!W180</f>
        <v>0</v>
      </c>
      <c r="D142" s="12">
        <f>'PCFP-All Expense AA-1 Modifd-1'!J128</f>
        <v>0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2:23" hidden="1" x14ac:dyDescent="0.2">
      <c r="B143" s="2" t="s">
        <v>245</v>
      </c>
      <c r="D143" s="12">
        <f>'PCFP-All Expense AA-1 Modifd-1'!J129</f>
        <v>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2:23" hidden="1" x14ac:dyDescent="0.2">
      <c r="B144" t="s">
        <v>246</v>
      </c>
      <c r="C144" s="12">
        <f>'19_20 District Budget Sum-1'!W182</f>
        <v>0</v>
      </c>
      <c r="D144" s="12">
        <f>'PCFP-All Expense AA-1 Modifd-1'!J130</f>
        <v>0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2:23" hidden="1" x14ac:dyDescent="0.2">
      <c r="B145" t="s">
        <v>247</v>
      </c>
      <c r="C145" s="12">
        <f>'19_20 District Budget Sum-1'!W183</f>
        <v>0</v>
      </c>
      <c r="D145" s="12">
        <f>'PCFP-All Expense AA-1 Modifd-1'!J131</f>
        <v>0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2:23" hidden="1" x14ac:dyDescent="0.2">
      <c r="B146" t="s">
        <v>248</v>
      </c>
      <c r="C146" s="12">
        <f>'19_20 District Budget Sum-1'!W184</f>
        <v>0</v>
      </c>
      <c r="D146" s="12">
        <f>'PCFP-All Expense AA-1 Modifd-1'!J132</f>
        <v>0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2:23" hidden="1" x14ac:dyDescent="0.2">
      <c r="B147" t="s">
        <v>249</v>
      </c>
      <c r="C147" s="12">
        <f>'19_20 District Budget Sum-1'!W185</f>
        <v>0</v>
      </c>
      <c r="D147" s="12">
        <f>'PCFP-All Expense AA-1 Modifd-1'!J133</f>
        <v>0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2:23" hidden="1" x14ac:dyDescent="0.2">
      <c r="B148" t="s">
        <v>250</v>
      </c>
      <c r="C148" s="12">
        <f>'19_20 District Budget Sum-1'!W186</f>
        <v>1323694</v>
      </c>
      <c r="D148" s="12">
        <f>'PCFP-All Expense AA-1 Modifd-1'!J134</f>
        <v>4798085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2:23" hidden="1" x14ac:dyDescent="0.2">
      <c r="B149" t="s">
        <v>251</v>
      </c>
      <c r="C149" s="12">
        <f>'19_20 District Budget Sum-1'!W187</f>
        <v>0</v>
      </c>
      <c r="D149" s="12">
        <f>'PCFP-All Expense AA-1 Modifd-1'!J135</f>
        <v>0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2:23" hidden="1" x14ac:dyDescent="0.2">
      <c r="B150" t="s">
        <v>252</v>
      </c>
      <c r="C150" s="12">
        <f>'19_20 District Budget Sum-1'!W188</f>
        <v>0</v>
      </c>
      <c r="D150" s="12">
        <f>'PCFP-All Expense AA-1 Modifd-1'!J136</f>
        <v>0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2:23" hidden="1" x14ac:dyDescent="0.2">
      <c r="B151" t="s">
        <v>253</v>
      </c>
      <c r="C151" s="12">
        <f>'19_20 District Budget Sum-1'!W189</f>
        <v>0</v>
      </c>
      <c r="D151" s="12">
        <f>'PCFP-All Expense AA-1 Modifd-1'!J137</f>
        <v>0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2:23" hidden="1" x14ac:dyDescent="0.2">
      <c r="B152" t="s">
        <v>254</v>
      </c>
      <c r="C152" s="12">
        <f>'19_20 District Budget Sum-1'!W190</f>
        <v>0</v>
      </c>
      <c r="D152" s="12">
        <f>'PCFP-All Expense AA-1 Modifd-1'!J138</f>
        <v>0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2:23" hidden="1" x14ac:dyDescent="0.2">
      <c r="B153" t="s">
        <v>255</v>
      </c>
      <c r="C153" s="12">
        <f>'19_20 District Budget Sum-1'!W191</f>
        <v>0</v>
      </c>
      <c r="D153" s="12">
        <f>'PCFP-All Expense AA-1 Modifd-1'!J139</f>
        <v>0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2:23" hidden="1" x14ac:dyDescent="0.2">
      <c r="B154" t="s">
        <v>256</v>
      </c>
      <c r="C154" s="12">
        <f>'19_20 District Budget Sum-1'!W192</f>
        <v>0</v>
      </c>
      <c r="D154" s="12">
        <f>'PCFP-All Expense AA-1 Modifd-1'!J140</f>
        <v>0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2:23" hidden="1" x14ac:dyDescent="0.2">
      <c r="B155" t="s">
        <v>257</v>
      </c>
      <c r="C155" s="12">
        <f>'19_20 District Budget Sum-1'!W193</f>
        <v>0</v>
      </c>
      <c r="D155" s="12">
        <f>'PCFP-All Expense AA-1 Modifd-1'!J141</f>
        <v>0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2:23" hidden="1" x14ac:dyDescent="0.2">
      <c r="B156" t="s">
        <v>258</v>
      </c>
      <c r="C156" s="12">
        <f>'19_20 District Budget Sum-1'!W194</f>
        <v>0</v>
      </c>
      <c r="D156" s="12">
        <f>'PCFP-All Expense AA-1 Modifd-1'!J142</f>
        <v>0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2:23" hidden="1" x14ac:dyDescent="0.2">
      <c r="B157" t="s">
        <v>259</v>
      </c>
      <c r="C157" s="12">
        <f>'19_20 District Budget Sum-1'!W195</f>
        <v>46531</v>
      </c>
      <c r="D157" s="12">
        <f>'PCFP-All Expense AA-1 Modifd-1'!J143</f>
        <v>473681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2:23" hidden="1" x14ac:dyDescent="0.2">
      <c r="B158" t="s">
        <v>260</v>
      </c>
      <c r="C158" s="12">
        <f>'19_20 District Budget Sum-1'!W196</f>
        <v>362006</v>
      </c>
      <c r="D158" s="12">
        <f>'PCFP-All Expense AA-1 Modifd-1'!J144</f>
        <v>1052317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2:23" hidden="1" x14ac:dyDescent="0.2">
      <c r="B159" t="str">
        <f>'PCFP-All Expense AA-1 Modifd-1'!B147</f>
        <v>Less:  Interfund Transfers</v>
      </c>
      <c r="C159" s="12">
        <v>0</v>
      </c>
      <c r="D159" s="12">
        <f>'PCFP-All Expense AA-1 Modifd-1'!J147</f>
        <v>0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</sheetData>
  <pageMargins left="0.7" right="0.7" top="0.75" bottom="0.75" header="0.3" footer="0.3"/>
  <pageSetup scale="9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D027-D2E7-4619-A3FF-B00EEC5D11C6}">
  <dimension ref="A1:G161"/>
  <sheetViews>
    <sheetView showGridLines="0" zoomScale="85" zoomScaleNormal="85" workbookViewId="0">
      <selection activeCell="J177" sqref="J177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9.7109375" style="12" bestFit="1" customWidth="1"/>
    <col min="4" max="4" width="18.7109375" style="12" bestFit="1" customWidth="1"/>
    <col min="5" max="5" width="19.7109375" bestFit="1" customWidth="1"/>
    <col min="6" max="6" width="16.710937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10" t="s">
        <v>630</v>
      </c>
      <c r="D1" s="10" t="s">
        <v>119</v>
      </c>
    </row>
    <row r="3" spans="1:5" s="526" customFormat="1" ht="38.25" x14ac:dyDescent="0.2">
      <c r="A3" s="524"/>
      <c r="B3" s="524" t="s">
        <v>120</v>
      </c>
      <c r="C3" s="525" t="s">
        <v>545</v>
      </c>
      <c r="D3" s="525" t="s">
        <v>546</v>
      </c>
      <c r="E3" s="525" t="s">
        <v>123</v>
      </c>
    </row>
    <row r="4" spans="1:5" x14ac:dyDescent="0.2">
      <c r="B4" s="3"/>
    </row>
    <row r="5" spans="1:5" x14ac:dyDescent="0.2">
      <c r="B5" s="16" t="s">
        <v>124</v>
      </c>
      <c r="C5" s="12">
        <f>'19_20 District Budget Summa-8'!Q29</f>
        <v>25345346</v>
      </c>
      <c r="D5" s="12">
        <f>SUM('PCFP - All Revenue AA-1 R-8'!F33,'PCFP - All Revenue AA-1 R-8'!H33)</f>
        <v>1014626</v>
      </c>
      <c r="E5" s="17">
        <f>D5-C5</f>
        <v>-24330720</v>
      </c>
    </row>
    <row r="6" spans="1:5" x14ac:dyDescent="0.2">
      <c r="E6" s="17"/>
    </row>
    <row r="7" spans="1:5" x14ac:dyDescent="0.2">
      <c r="B7" s="16" t="s">
        <v>125</v>
      </c>
      <c r="C7" s="12">
        <f>'19_20 District Budget Summa-8'!Q42</f>
        <v>17955432</v>
      </c>
      <c r="D7" s="12">
        <f>SUM('PCFP - All Revenue AA-1 R-8'!F49,'PCFP - All Revenue AA-1 R-8'!H49)</f>
        <v>38002841.628950745</v>
      </c>
      <c r="E7" s="17">
        <f>D7-C7</f>
        <v>20047409.628950745</v>
      </c>
    </row>
    <row r="8" spans="1:5" x14ac:dyDescent="0.2">
      <c r="E8" s="17"/>
    </row>
    <row r="9" spans="1:5" x14ac:dyDescent="0.2">
      <c r="B9" s="16" t="s">
        <v>126</v>
      </c>
      <c r="C9" s="12">
        <f>'19_20 District Budget Summa-8'!Q53</f>
        <v>4452475</v>
      </c>
      <c r="D9" s="12">
        <f>SUM('PCFP - All Revenue AA-1 R-8'!F57,'PCFP - All Revenue AA-1 R-8'!H57)</f>
        <v>4452475</v>
      </c>
      <c r="E9" s="17">
        <f>D9-C9</f>
        <v>0</v>
      </c>
    </row>
    <row r="10" spans="1:5" x14ac:dyDescent="0.2">
      <c r="E10" s="17"/>
    </row>
    <row r="11" spans="1:5" x14ac:dyDescent="0.2">
      <c r="B11" s="16" t="s">
        <v>127</v>
      </c>
      <c r="C11" s="12">
        <f>'19_20 District Budget Summa-8'!Q60</f>
        <v>0</v>
      </c>
      <c r="D11" s="12">
        <f>SUM('PCFP - All Revenue AA-1 R-8'!F67,'PCFP - All Revenue AA-1 R-8'!H67)</f>
        <v>0</v>
      </c>
      <c r="E11" s="17">
        <f>D11-C11</f>
        <v>0</v>
      </c>
    </row>
    <row r="12" spans="1:5" x14ac:dyDescent="0.2">
      <c r="E12" s="17"/>
    </row>
    <row r="13" spans="1:5" s="2" customFormat="1" x14ac:dyDescent="0.2">
      <c r="B13" s="18" t="s">
        <v>128</v>
      </c>
      <c r="C13" s="19">
        <f>SUM(C5:C12)</f>
        <v>47753253</v>
      </c>
      <c r="D13" s="19">
        <f>SUM(D5:D12)</f>
        <v>43469942.628950745</v>
      </c>
      <c r="E13" s="20">
        <f>D13-C13</f>
        <v>-4283310.3710492551</v>
      </c>
    </row>
    <row r="15" spans="1:5" x14ac:dyDescent="0.2">
      <c r="B15" s="16" t="s">
        <v>129</v>
      </c>
      <c r="C15" s="12">
        <f>'19_20 District Budget Summa-8'!Q70</f>
        <v>9284828</v>
      </c>
      <c r="D15" s="12">
        <f>SUM('PCFP - All Revenue AA-1 R-8'!F71,'PCFP - All Revenue AA-1 R-8'!H71)</f>
        <v>9284828</v>
      </c>
      <c r="E15" s="21">
        <f>D15-C15</f>
        <v>0</v>
      </c>
    </row>
    <row r="17" spans="1:7" x14ac:dyDescent="0.2">
      <c r="A17" s="22"/>
      <c r="B17" s="23" t="s">
        <v>306</v>
      </c>
      <c r="C17" s="24">
        <f t="shared" ref="C17" si="0">SUM(C13:C15)</f>
        <v>57038081</v>
      </c>
      <c r="D17" s="24">
        <f>SUM(D13:D15)</f>
        <v>52754770.628950745</v>
      </c>
      <c r="E17" s="25">
        <f>D17-C17</f>
        <v>-4283310.3710492551</v>
      </c>
      <c r="F17" s="26"/>
      <c r="G17" s="17"/>
    </row>
    <row r="18" spans="1:7" s="2" customFormat="1" x14ac:dyDescent="0.2">
      <c r="A18" s="27"/>
      <c r="B18" s="28" t="s">
        <v>131</v>
      </c>
      <c r="C18" s="285">
        <f>SUM(C21,C38,C70,C72)</f>
        <v>57038081</v>
      </c>
      <c r="D18" s="285">
        <f>SUM(D21,D38,D70,D72)</f>
        <v>57038081</v>
      </c>
      <c r="E18" s="29">
        <f>D18-C18</f>
        <v>0</v>
      </c>
    </row>
    <row r="19" spans="1:7" x14ac:dyDescent="0.2">
      <c r="A19" s="30"/>
      <c r="B19" s="286" t="s">
        <v>132</v>
      </c>
      <c r="C19" s="287">
        <f t="shared" ref="C19" si="1">C17-C18</f>
        <v>0</v>
      </c>
      <c r="D19" s="287">
        <f>D17-D18</f>
        <v>-4283310.3710492551</v>
      </c>
      <c r="E19" s="29">
        <f>D19-C19</f>
        <v>-4283310.3710492551</v>
      </c>
    </row>
    <row r="21" spans="1:7" x14ac:dyDescent="0.2">
      <c r="B21" s="2" t="s">
        <v>468</v>
      </c>
      <c r="C21" s="12">
        <f>SUM(C22:C36)</f>
        <v>28259852</v>
      </c>
      <c r="D21" s="12">
        <f>SUM(D22:D36)</f>
        <v>19849212</v>
      </c>
    </row>
    <row r="22" spans="1:7" hidden="1" x14ac:dyDescent="0.2">
      <c r="A22" s="2">
        <v>100</v>
      </c>
      <c r="B22" t="s">
        <v>134</v>
      </c>
      <c r="C22" s="12">
        <f>'19_20 District Budget Summa-8'!Q77</f>
        <v>21005480</v>
      </c>
      <c r="D22" s="12">
        <f>'PCFP-All Expense AA-1 Modif-8'!J3</f>
        <v>16956417</v>
      </c>
      <c r="E22" s="288"/>
    </row>
    <row r="23" spans="1:7" hidden="1" x14ac:dyDescent="0.2">
      <c r="A23" s="2">
        <v>200</v>
      </c>
      <c r="B23" t="s">
        <v>135</v>
      </c>
      <c r="C23" s="12">
        <f>'19_20 District Budget Summa-8'!Q78</f>
        <v>3267429</v>
      </c>
      <c r="D23" s="12">
        <f>'PCFP-All Expense AA-1 Modif-8'!J4</f>
        <v>0</v>
      </c>
      <c r="E23" s="288"/>
    </row>
    <row r="24" spans="1:7" hidden="1" x14ac:dyDescent="0.2">
      <c r="A24" s="2" t="s">
        <v>10</v>
      </c>
      <c r="B24" t="s">
        <v>136</v>
      </c>
      <c r="C24" s="12">
        <f>'19_20 District Budget Summa-8'!Q79</f>
        <v>0</v>
      </c>
      <c r="D24" s="12">
        <f>'PCFP-All Expense AA-1 Modif-8'!J5</f>
        <v>0</v>
      </c>
      <c r="E24" s="288"/>
    </row>
    <row r="25" spans="1:7" hidden="1" x14ac:dyDescent="0.2">
      <c r="A25" s="2">
        <v>270</v>
      </c>
      <c r="B25" t="s">
        <v>137</v>
      </c>
      <c r="C25" s="12">
        <f>'19_20 District Budget Summa-8'!Q80</f>
        <v>0</v>
      </c>
      <c r="D25" s="12">
        <f>'PCFP-All Expense AA-1 Modif-8'!J6</f>
        <v>0</v>
      </c>
      <c r="E25" s="288"/>
    </row>
    <row r="26" spans="1:7" hidden="1" x14ac:dyDescent="0.2">
      <c r="A26" s="2" t="s">
        <v>10</v>
      </c>
      <c r="B26" t="s">
        <v>138</v>
      </c>
      <c r="C26" s="12">
        <f>'19_20 District Budget Summa-8'!Q81</f>
        <v>0</v>
      </c>
      <c r="D26" s="12">
        <f>'PCFP-All Expense AA-1 Modif-8'!J7</f>
        <v>0</v>
      </c>
      <c r="E26" s="288"/>
    </row>
    <row r="27" spans="1:7" hidden="1" x14ac:dyDescent="0.2">
      <c r="A27" s="2">
        <v>300</v>
      </c>
      <c r="B27" t="s">
        <v>139</v>
      </c>
      <c r="C27" s="12">
        <f>'19_20 District Budget Summa-8'!Q82</f>
        <v>1179059</v>
      </c>
      <c r="D27" s="12">
        <f>'PCFP-All Expense AA-1 Modif-8'!J8</f>
        <v>1072152</v>
      </c>
      <c r="E27" s="288"/>
    </row>
    <row r="28" spans="1:7" hidden="1" x14ac:dyDescent="0.2">
      <c r="A28" s="2">
        <v>400</v>
      </c>
      <c r="B28" t="s">
        <v>140</v>
      </c>
      <c r="C28" s="12">
        <f>'19_20 District Budget Summa-8'!Q83</f>
        <v>1781518</v>
      </c>
      <c r="D28" s="12">
        <f>'PCFP-All Expense AA-1 Modif-8'!J9</f>
        <v>1013155</v>
      </c>
      <c r="E28" s="288"/>
    </row>
    <row r="29" spans="1:7" hidden="1" x14ac:dyDescent="0.2">
      <c r="A29" s="2" t="s">
        <v>10</v>
      </c>
      <c r="B29" t="s">
        <v>141</v>
      </c>
      <c r="C29" s="12">
        <f>'19_20 District Budget Summa-8'!Q84</f>
        <v>0</v>
      </c>
      <c r="D29" s="12">
        <f>'PCFP-All Expense AA-1 Modif-8'!J10</f>
        <v>0</v>
      </c>
      <c r="E29" s="288"/>
    </row>
    <row r="30" spans="1:7" hidden="1" x14ac:dyDescent="0.2">
      <c r="A30" s="2" t="s">
        <v>10</v>
      </c>
      <c r="B30" t="s">
        <v>142</v>
      </c>
      <c r="C30" s="12">
        <f>'19_20 District Budget Summa-8'!Q85</f>
        <v>0</v>
      </c>
      <c r="D30" s="12">
        <f>'PCFP-All Expense AA-1 Modif-8'!J11</f>
        <v>0</v>
      </c>
      <c r="E30" s="288"/>
    </row>
    <row r="31" spans="1:7" hidden="1" x14ac:dyDescent="0.2">
      <c r="A31" s="2">
        <v>440</v>
      </c>
      <c r="B31" t="s">
        <v>143</v>
      </c>
      <c r="C31" s="12">
        <f>'19_20 District Budget Summa-8'!Q87</f>
        <v>0</v>
      </c>
      <c r="D31" s="12">
        <f>'PCFP-All Expense AA-1 Modif-8'!J12</f>
        <v>27385</v>
      </c>
      <c r="E31" s="288"/>
    </row>
    <row r="32" spans="1:7" hidden="1" x14ac:dyDescent="0.2">
      <c r="A32" s="2">
        <v>500</v>
      </c>
      <c r="B32" t="s">
        <v>144</v>
      </c>
      <c r="C32" s="12">
        <f>'19_20 District Budget Summa-8'!Q88</f>
        <v>0</v>
      </c>
      <c r="D32" s="12">
        <f>'PCFP-All Expense AA-1 Modif-8'!J13</f>
        <v>0</v>
      </c>
      <c r="E32" s="288"/>
    </row>
    <row r="33" spans="1:5" hidden="1" x14ac:dyDescent="0.2">
      <c r="A33" s="2">
        <v>600</v>
      </c>
      <c r="B33" t="s">
        <v>145</v>
      </c>
      <c r="C33" s="12">
        <f>'19_20 District Budget Summa-8'!Q89</f>
        <v>133669</v>
      </c>
      <c r="D33" s="12">
        <f>'PCFP-All Expense AA-1 Modif-8'!J14</f>
        <v>0</v>
      </c>
      <c r="E33" s="288"/>
    </row>
    <row r="34" spans="1:5" hidden="1" x14ac:dyDescent="0.2">
      <c r="A34" s="2">
        <v>800</v>
      </c>
      <c r="B34" t="s">
        <v>146</v>
      </c>
      <c r="C34" s="12">
        <f>'19_20 District Budget Summa-8'!Q90</f>
        <v>100209</v>
      </c>
      <c r="D34" s="12">
        <f>'PCFP-All Expense AA-1 Modif-8'!J15</f>
        <v>0</v>
      </c>
      <c r="E34" s="288"/>
    </row>
    <row r="35" spans="1:5" hidden="1" x14ac:dyDescent="0.2">
      <c r="A35" s="2">
        <v>910</v>
      </c>
      <c r="B35" t="s">
        <v>147</v>
      </c>
      <c r="C35" s="12">
        <f>'19_20 District Budget Summa-8'!Q91</f>
        <v>137239</v>
      </c>
      <c r="D35" s="12">
        <f>'PCFP-All Expense AA-1 Modif-8'!J16</f>
        <v>124854</v>
      </c>
      <c r="E35" s="288"/>
    </row>
    <row r="36" spans="1:5" hidden="1" x14ac:dyDescent="0.2">
      <c r="A36" s="2">
        <v>920</v>
      </c>
      <c r="B36" t="s">
        <v>148</v>
      </c>
      <c r="C36" s="12">
        <f>'19_20 District Budget Summa-8'!Q92</f>
        <v>655249</v>
      </c>
      <c r="D36" s="12">
        <f>'PCFP-All Expense AA-1 Modif-8'!J17</f>
        <v>655249</v>
      </c>
      <c r="E36" s="288"/>
    </row>
    <row r="37" spans="1:5" x14ac:dyDescent="0.2">
      <c r="E37" s="288"/>
    </row>
    <row r="38" spans="1:5" x14ac:dyDescent="0.2">
      <c r="A38" s="2" t="s">
        <v>149</v>
      </c>
      <c r="B38" s="2" t="s">
        <v>150</v>
      </c>
      <c r="C38" s="12">
        <f>SUM(C39:C68)</f>
        <v>30400670</v>
      </c>
      <c r="D38" s="12">
        <f>SUM(D39:D68)</f>
        <v>19189629</v>
      </c>
      <c r="E38" s="288"/>
    </row>
    <row r="39" spans="1:5" hidden="1" x14ac:dyDescent="0.2">
      <c r="A39" s="2">
        <v>2100</v>
      </c>
      <c r="B39" t="s">
        <v>151</v>
      </c>
      <c r="C39" s="12">
        <f>'19_20 District Budget Summa-8'!Q95</f>
        <v>1852657</v>
      </c>
      <c r="D39" s="12">
        <f>'PCFP-All Expense AA-1 Modif-8'!J21</f>
        <v>1472167</v>
      </c>
      <c r="E39" s="288"/>
    </row>
    <row r="40" spans="1:5" hidden="1" x14ac:dyDescent="0.2">
      <c r="A40" s="2">
        <v>2200</v>
      </c>
      <c r="B40" t="s">
        <v>152</v>
      </c>
      <c r="C40" s="12">
        <f>'19_20 District Budget Summa-8'!Q96</f>
        <v>1586801</v>
      </c>
      <c r="D40" s="12">
        <f>'PCFP-All Expense AA-1 Modif-8'!J22</f>
        <v>1055966</v>
      </c>
      <c r="E40" s="288"/>
    </row>
    <row r="41" spans="1:5" hidden="1" x14ac:dyDescent="0.2">
      <c r="A41" s="2">
        <v>2300</v>
      </c>
      <c r="B41" t="s">
        <v>153</v>
      </c>
      <c r="C41" s="12">
        <f>'19_20 District Budget Summa-8'!Q97</f>
        <v>1396175</v>
      </c>
      <c r="D41" s="12">
        <f>'PCFP-All Expense AA-1 Modif-8'!J23</f>
        <v>1370301</v>
      </c>
      <c r="E41" s="288"/>
    </row>
    <row r="42" spans="1:5" hidden="1" x14ac:dyDescent="0.2">
      <c r="A42" s="2">
        <v>2400</v>
      </c>
      <c r="B42" t="s">
        <v>154</v>
      </c>
      <c r="C42" s="12">
        <f>'19_20 District Budget Summa-8'!Q98</f>
        <v>3265148</v>
      </c>
      <c r="D42" s="12">
        <f>'PCFP-All Expense AA-1 Modif-8'!J24</f>
        <v>3172509</v>
      </c>
      <c r="E42" s="288"/>
    </row>
    <row r="43" spans="1:5" hidden="1" x14ac:dyDescent="0.2">
      <c r="A43" s="2">
        <v>2500</v>
      </c>
      <c r="B43" t="s">
        <v>155</v>
      </c>
      <c r="C43" s="12">
        <f>'19_20 District Budget Summa-8'!Q99</f>
        <v>948799</v>
      </c>
      <c r="D43" s="12">
        <f>'PCFP-All Expense AA-1 Modif-8'!J25</f>
        <v>715419</v>
      </c>
      <c r="E43" s="288"/>
    </row>
    <row r="44" spans="1:5" hidden="1" x14ac:dyDescent="0.2">
      <c r="A44" s="2">
        <v>2600</v>
      </c>
      <c r="B44" t="s">
        <v>156</v>
      </c>
      <c r="C44" s="12">
        <f>'19_20 District Budget Summa-8'!Q100</f>
        <v>6500004</v>
      </c>
      <c r="D44" s="12">
        <f>'PCFP-All Expense AA-1 Modif-8'!J26</f>
        <v>4547201</v>
      </c>
      <c r="E44" s="288"/>
    </row>
    <row r="45" spans="1:5" hidden="1" x14ac:dyDescent="0.2">
      <c r="A45" s="2">
        <v>2700</v>
      </c>
      <c r="B45" t="s">
        <v>157</v>
      </c>
      <c r="C45" s="12">
        <f>'19_20 District Budget Summa-8'!Q101</f>
        <v>2356195</v>
      </c>
      <c r="D45" s="12">
        <f>'PCFP-All Expense AA-1 Modif-8'!J27</f>
        <v>1782086</v>
      </c>
      <c r="E45" s="288"/>
    </row>
    <row r="46" spans="1:5" hidden="1" x14ac:dyDescent="0.2">
      <c r="A46" s="2">
        <v>2900</v>
      </c>
      <c r="B46" t="s">
        <v>158</v>
      </c>
      <c r="C46" s="12">
        <f>'19_20 District Budget Summa-8'!Q102</f>
        <v>9000</v>
      </c>
      <c r="D46" s="12">
        <f>'PCFP-All Expense AA-1 Modif-8'!J28</f>
        <v>0</v>
      </c>
      <c r="E46" s="288"/>
    </row>
    <row r="47" spans="1:5" hidden="1" x14ac:dyDescent="0.2">
      <c r="A47" s="2">
        <v>3000</v>
      </c>
      <c r="B47" t="s">
        <v>159</v>
      </c>
      <c r="C47" s="12">
        <f>'19_20 District Budget Summa-8'!Q103</f>
        <v>0</v>
      </c>
      <c r="D47" s="12">
        <f>'PCFP-All Expense AA-1 Modif-8'!J29</f>
        <v>0</v>
      </c>
      <c r="E47" s="288"/>
    </row>
    <row r="48" spans="1:5" hidden="1" x14ac:dyDescent="0.2">
      <c r="A48" s="2">
        <v>3100</v>
      </c>
      <c r="B48" t="s">
        <v>160</v>
      </c>
      <c r="C48" s="12">
        <f>'19_20 District Budget Summa-8'!Q104</f>
        <v>1115066</v>
      </c>
      <c r="D48" s="12">
        <f>'PCFP-All Expense AA-1 Modif-8'!J30</f>
        <v>0</v>
      </c>
      <c r="E48" s="288"/>
    </row>
    <row r="49" spans="1:5" hidden="1" x14ac:dyDescent="0.2">
      <c r="A49" s="2">
        <v>3200</v>
      </c>
      <c r="B49" t="s">
        <v>161</v>
      </c>
      <c r="C49" s="12">
        <f>'19_20 District Budget Summa-8'!Q105</f>
        <v>0</v>
      </c>
      <c r="D49" s="12">
        <f>'PCFP-All Expense AA-1 Modif-8'!J31</f>
        <v>0</v>
      </c>
      <c r="E49" s="288"/>
    </row>
    <row r="50" spans="1:5" hidden="1" x14ac:dyDescent="0.2">
      <c r="A50" s="2">
        <v>3300</v>
      </c>
      <c r="B50" t="s">
        <v>162</v>
      </c>
      <c r="C50" s="12">
        <f>'19_20 District Budget Summa-8'!Q106</f>
        <v>0</v>
      </c>
      <c r="D50" s="12">
        <f>'PCFP-All Expense AA-1 Modif-8'!J32</f>
        <v>0</v>
      </c>
      <c r="E50" s="288"/>
    </row>
    <row r="51" spans="1:5" hidden="1" x14ac:dyDescent="0.2">
      <c r="A51" s="2">
        <v>4000</v>
      </c>
      <c r="B51" t="s">
        <v>164</v>
      </c>
      <c r="C51" s="12">
        <f>'19_20 District Budget Summa-8'!Q107</f>
        <v>0</v>
      </c>
      <c r="D51" s="12">
        <f>'PCFP-All Expense AA-1 Modif-8'!J33</f>
        <v>0</v>
      </c>
      <c r="E51" s="288"/>
    </row>
    <row r="52" spans="1:5" hidden="1" x14ac:dyDescent="0.2">
      <c r="A52" s="2">
        <v>4100</v>
      </c>
      <c r="B52" t="s">
        <v>163</v>
      </c>
      <c r="C52" s="12">
        <f>'19_20 District Budget Summa-8'!Q108</f>
        <v>0</v>
      </c>
      <c r="D52" s="12">
        <f>'PCFP-All Expense AA-1 Modif-8'!J34</f>
        <v>0</v>
      </c>
      <c r="E52" s="288"/>
    </row>
    <row r="53" spans="1:5" hidden="1" x14ac:dyDescent="0.2">
      <c r="A53" s="2">
        <v>4200</v>
      </c>
      <c r="B53" t="s">
        <v>165</v>
      </c>
      <c r="C53" s="12">
        <f>'19_20 District Budget Summa-8'!Q109</f>
        <v>0</v>
      </c>
      <c r="D53" s="12">
        <f>'PCFP-All Expense AA-1 Modif-8'!J35</f>
        <v>0</v>
      </c>
      <c r="E53" s="288"/>
    </row>
    <row r="54" spans="1:5" hidden="1" x14ac:dyDescent="0.2">
      <c r="A54" s="2">
        <v>4300</v>
      </c>
      <c r="B54" t="s">
        <v>166</v>
      </c>
      <c r="C54" s="12">
        <f>'19_20 District Budget Summa-8'!Q110</f>
        <v>45000</v>
      </c>
      <c r="D54" s="12">
        <f>'PCFP-All Expense AA-1 Modif-8'!J36</f>
        <v>0</v>
      </c>
      <c r="E54" s="288"/>
    </row>
    <row r="55" spans="1:5" hidden="1" x14ac:dyDescent="0.2">
      <c r="A55" s="2">
        <v>4400</v>
      </c>
      <c r="B55" t="s">
        <v>167</v>
      </c>
      <c r="C55" s="12">
        <f>'19_20 District Budget Summa-8'!Q111</f>
        <v>0</v>
      </c>
      <c r="D55" s="12">
        <f>'PCFP-All Expense AA-1 Modif-8'!J37</f>
        <v>0</v>
      </c>
      <c r="E55" s="288"/>
    </row>
    <row r="56" spans="1:5" hidden="1" x14ac:dyDescent="0.2">
      <c r="A56" s="2">
        <v>4500</v>
      </c>
      <c r="B56" t="s">
        <v>168</v>
      </c>
      <c r="C56" s="12">
        <f>'19_20 District Budget Summa-8'!Q112</f>
        <v>0</v>
      </c>
      <c r="D56" s="12">
        <f>'PCFP-All Expense AA-1 Modif-8'!J38</f>
        <v>0</v>
      </c>
      <c r="E56" s="288"/>
    </row>
    <row r="57" spans="1:5" hidden="1" x14ac:dyDescent="0.2">
      <c r="A57" s="2">
        <v>4600</v>
      </c>
      <c r="B57" t="s">
        <v>169</v>
      </c>
      <c r="C57" s="12">
        <f>'19_20 District Budget Summa-8'!Q113</f>
        <v>0</v>
      </c>
      <c r="D57" s="12">
        <f>'PCFP-All Expense AA-1 Modif-8'!J39</f>
        <v>0</v>
      </c>
      <c r="E57" s="288"/>
    </row>
    <row r="58" spans="1:5" hidden="1" x14ac:dyDescent="0.2">
      <c r="A58" s="2">
        <v>4700</v>
      </c>
      <c r="B58" t="s">
        <v>170</v>
      </c>
      <c r="C58" s="12">
        <f>'19_20 District Budget Summa-8'!Q114</f>
        <v>1812771</v>
      </c>
      <c r="D58" s="12">
        <f>'PCFP-All Expense AA-1 Modif-8'!J40</f>
        <v>0</v>
      </c>
      <c r="E58" s="288"/>
    </row>
    <row r="59" spans="1:5" hidden="1" x14ac:dyDescent="0.2">
      <c r="A59" s="2">
        <v>4900</v>
      </c>
      <c r="B59" t="s">
        <v>171</v>
      </c>
      <c r="C59" s="12">
        <f>'19_20 District Budget Summa-8'!Q115</f>
        <v>0</v>
      </c>
      <c r="D59" s="12">
        <f>'PCFP-All Expense AA-1 Modif-8'!J41</f>
        <v>0</v>
      </c>
      <c r="E59" s="288"/>
    </row>
    <row r="60" spans="1:5" hidden="1" x14ac:dyDescent="0.2">
      <c r="A60" s="2">
        <v>5000</v>
      </c>
      <c r="B60" t="s">
        <v>172</v>
      </c>
      <c r="C60" s="12">
        <f>'19_20 District Budget Summa-8'!Q116</f>
        <v>2848003</v>
      </c>
      <c r="D60" s="12">
        <f>'PCFP-All Expense AA-1 Modif-8'!J42</f>
        <v>0</v>
      </c>
      <c r="E60" s="288"/>
    </row>
    <row r="61" spans="1:5" hidden="1" x14ac:dyDescent="0.2">
      <c r="A61" s="2">
        <v>5000</v>
      </c>
      <c r="B61" t="s">
        <v>173</v>
      </c>
      <c r="C61" s="12">
        <f>'19_20 District Budget Summa-8'!Q117</f>
        <v>0</v>
      </c>
      <c r="D61" s="12">
        <f>'PCFP-All Expense AA-1 Modif-8'!J43</f>
        <v>77341</v>
      </c>
      <c r="E61" s="288"/>
    </row>
    <row r="62" spans="1:5" hidden="1" x14ac:dyDescent="0.2">
      <c r="A62" s="2">
        <v>6100</v>
      </c>
      <c r="B62" t="s">
        <v>174</v>
      </c>
      <c r="C62" s="12">
        <f>'19_20 District Budget Summa-8'!Q118</f>
        <v>0</v>
      </c>
      <c r="D62" s="12">
        <f>'PCFP-All Expense AA-1 Modif-8'!J44</f>
        <v>0</v>
      </c>
      <c r="E62" s="288"/>
    </row>
    <row r="63" spans="1:5" hidden="1" x14ac:dyDescent="0.2">
      <c r="A63" s="2">
        <v>6200</v>
      </c>
      <c r="B63" t="s">
        <v>175</v>
      </c>
      <c r="C63" s="12">
        <f>'19_20 District Budget Summa-8'!Q119</f>
        <v>1874441</v>
      </c>
      <c r="D63" s="12">
        <f>'PCFP-All Expense AA-1 Modif-8'!J45</f>
        <v>2545002</v>
      </c>
      <c r="E63" s="288"/>
    </row>
    <row r="64" spans="1:5" hidden="1" x14ac:dyDescent="0.2">
      <c r="A64" s="2">
        <v>6300</v>
      </c>
      <c r="B64" t="s">
        <v>176</v>
      </c>
      <c r="C64" s="12">
        <f>'19_20 District Budget Summa-8'!Q120</f>
        <v>0</v>
      </c>
      <c r="D64" s="12">
        <f>'PCFP-All Expense AA-1 Modif-8'!J46</f>
        <v>0</v>
      </c>
      <c r="E64" s="288"/>
    </row>
    <row r="65" spans="1:5" hidden="1" x14ac:dyDescent="0.2">
      <c r="A65" s="2">
        <v>8000</v>
      </c>
      <c r="B65" t="s">
        <v>177</v>
      </c>
      <c r="C65" s="12">
        <f>'19_20 District Budget Summa-8'!Q121</f>
        <v>4790610</v>
      </c>
      <c r="D65" s="12">
        <f>'PCFP-All Expense AA-1 Modif-8'!J47</f>
        <v>0</v>
      </c>
      <c r="E65" s="288"/>
    </row>
    <row r="66" spans="1:5" hidden="1" x14ac:dyDescent="0.2">
      <c r="B66" t="s">
        <v>445</v>
      </c>
      <c r="C66" s="12">
        <v>0</v>
      </c>
      <c r="D66" s="12">
        <f>'PCFP-All Expense AA-1 Modif-8'!J48</f>
        <v>0</v>
      </c>
      <c r="E66" s="288"/>
    </row>
    <row r="67" spans="1:5" hidden="1" x14ac:dyDescent="0.2">
      <c r="B67" t="s">
        <v>446</v>
      </c>
      <c r="C67" s="12">
        <v>0</v>
      </c>
      <c r="D67" s="12">
        <f>'PCFP-All Expense AA-1 Modif-8'!J49</f>
        <v>2394657</v>
      </c>
      <c r="E67" s="288"/>
    </row>
    <row r="68" spans="1:5" hidden="1" x14ac:dyDescent="0.2">
      <c r="B68" t="s">
        <v>255</v>
      </c>
      <c r="C68" s="12">
        <v>0</v>
      </c>
      <c r="D68" s="12">
        <f>'PCFP-All Expense AA-1 Modif-8'!J50</f>
        <v>56980</v>
      </c>
      <c r="E68" s="288"/>
    </row>
    <row r="69" spans="1:5" x14ac:dyDescent="0.2">
      <c r="E69" s="288"/>
    </row>
    <row r="70" spans="1:5" s="2" customFormat="1" x14ac:dyDescent="0.2">
      <c r="B70" s="2" t="str">
        <f>'PCFP-All Expense AA-1 Modif-8'!A52</f>
        <v>DEBT SERVICE</v>
      </c>
      <c r="C70" s="19">
        <v>0</v>
      </c>
      <c r="D70" s="19">
        <f>'PCFP-All Expense AA-1 Modif-8'!J52</f>
        <v>2582725</v>
      </c>
      <c r="E70" s="288"/>
    </row>
    <row r="71" spans="1:5" x14ac:dyDescent="0.2">
      <c r="E71" s="288"/>
    </row>
    <row r="72" spans="1:5" s="2" customFormat="1" x14ac:dyDescent="0.2">
      <c r="A72" s="53"/>
      <c r="B72" s="2" t="s">
        <v>178</v>
      </c>
      <c r="C72" s="19">
        <f>SUM(C73:C161)</f>
        <v>-1622441</v>
      </c>
      <c r="D72" s="19">
        <f>SUM(D73:D161)</f>
        <v>15416515</v>
      </c>
      <c r="E72" s="288"/>
    </row>
    <row r="73" spans="1:5" hidden="1" x14ac:dyDescent="0.2">
      <c r="B73" t="s">
        <v>179</v>
      </c>
      <c r="C73" s="12">
        <f>'19_20 District Budget Summa-8'!Q124</f>
        <v>0</v>
      </c>
      <c r="D73" s="12">
        <f>'PCFP-All Expense AA-1 Modif-8'!J56</f>
        <v>0</v>
      </c>
      <c r="E73" s="288"/>
    </row>
    <row r="74" spans="1:5" hidden="1" x14ac:dyDescent="0.2">
      <c r="B74" t="s">
        <v>145</v>
      </c>
      <c r="C74" s="12">
        <f>'19_20 District Budget Summa-8'!Q125</f>
        <v>0</v>
      </c>
      <c r="D74" s="12">
        <f>'PCFP-All Expense AA-1 Modif-8'!J57</f>
        <v>105934</v>
      </c>
      <c r="E74" s="288"/>
    </row>
    <row r="75" spans="1:5" hidden="1" x14ac:dyDescent="0.2">
      <c r="B75" t="s">
        <v>180</v>
      </c>
      <c r="C75" s="12">
        <f>'19_20 District Budget Summa-8'!Q126</f>
        <v>0</v>
      </c>
      <c r="D75" s="12">
        <f>'PCFP-All Expense AA-1 Modif-8'!J58</f>
        <v>27735</v>
      </c>
      <c r="E75" s="288"/>
    </row>
    <row r="76" spans="1:5" hidden="1" x14ac:dyDescent="0.2">
      <c r="B76" t="s">
        <v>181</v>
      </c>
      <c r="C76" s="12">
        <f>'19_20 District Budget Summa-8'!Q127</f>
        <v>0</v>
      </c>
      <c r="D76" s="12">
        <f>'PCFP-All Expense AA-1 Modif-8'!J59</f>
        <v>0</v>
      </c>
      <c r="E76" s="288"/>
    </row>
    <row r="77" spans="1:5" hidden="1" x14ac:dyDescent="0.2">
      <c r="B77" t="s">
        <v>182</v>
      </c>
      <c r="C77" s="12">
        <f>'19_20 District Budget Summa-8'!Q128</f>
        <v>0</v>
      </c>
      <c r="D77" s="12">
        <f>'PCFP-All Expense AA-1 Modif-8'!J60</f>
        <v>0</v>
      </c>
      <c r="E77" s="288"/>
    </row>
    <row r="78" spans="1:5" hidden="1" x14ac:dyDescent="0.2">
      <c r="B78" t="s">
        <v>183</v>
      </c>
      <c r="C78" s="12">
        <f>'19_20 District Budget Summa-8'!Q129</f>
        <v>0</v>
      </c>
      <c r="D78" s="12">
        <f>'PCFP-All Expense AA-1 Modif-8'!J61</f>
        <v>0</v>
      </c>
      <c r="E78" s="288"/>
    </row>
    <row r="79" spans="1:5" hidden="1" x14ac:dyDescent="0.2">
      <c r="B79" t="s">
        <v>184</v>
      </c>
      <c r="C79" s="12">
        <f>'19_20 District Budget Summa-8'!Q130</f>
        <v>0</v>
      </c>
      <c r="D79" s="12">
        <f>'PCFP-All Expense AA-1 Modif-8'!J62</f>
        <v>0</v>
      </c>
      <c r="E79" s="288"/>
    </row>
    <row r="80" spans="1:5" hidden="1" x14ac:dyDescent="0.2">
      <c r="B80" t="s">
        <v>185</v>
      </c>
      <c r="C80" s="12">
        <f>'19_20 District Budget Summa-8'!Q131</f>
        <v>0</v>
      </c>
      <c r="D80" s="12">
        <f>'PCFP-All Expense AA-1 Modif-8'!J63</f>
        <v>597816</v>
      </c>
      <c r="E80" s="288"/>
    </row>
    <row r="81" spans="2:5" hidden="1" x14ac:dyDescent="0.2">
      <c r="B81" t="s">
        <v>186</v>
      </c>
      <c r="C81" s="12">
        <f>'19_20 District Budget Summa-8'!Q132</f>
        <v>0</v>
      </c>
      <c r="D81" s="12">
        <f>'PCFP-All Expense AA-1 Modif-8'!J64</f>
        <v>447666</v>
      </c>
      <c r="E81" s="288"/>
    </row>
    <row r="82" spans="2:5" hidden="1" x14ac:dyDescent="0.2">
      <c r="B82" t="s">
        <v>187</v>
      </c>
      <c r="C82" s="12">
        <f>'19_20 District Budget Summa-8'!Q133</f>
        <v>0</v>
      </c>
      <c r="D82" s="12">
        <f>'PCFP-All Expense AA-1 Modif-8'!J65</f>
        <v>0</v>
      </c>
      <c r="E82" s="288"/>
    </row>
    <row r="83" spans="2:5" hidden="1" x14ac:dyDescent="0.2">
      <c r="B83" t="s">
        <v>188</v>
      </c>
      <c r="C83" s="12">
        <f>'19_20 District Budget Summa-8'!Q134</f>
        <v>0</v>
      </c>
      <c r="D83" s="12">
        <f>'PCFP-All Expense AA-1 Modif-8'!J66</f>
        <v>0</v>
      </c>
      <c r="E83" s="288"/>
    </row>
    <row r="84" spans="2:5" hidden="1" x14ac:dyDescent="0.2">
      <c r="B84" t="s">
        <v>189</v>
      </c>
      <c r="C84" s="12">
        <f>'19_20 District Budget Summa-8'!Q135</f>
        <v>0</v>
      </c>
      <c r="D84" s="12">
        <f>'PCFP-All Expense AA-1 Modif-8'!J67</f>
        <v>0</v>
      </c>
      <c r="E84" s="288"/>
    </row>
    <row r="85" spans="2:5" hidden="1" x14ac:dyDescent="0.2">
      <c r="B85" t="s">
        <v>190</v>
      </c>
      <c r="C85" s="12">
        <f>'19_20 District Budget Summa-8'!Q136</f>
        <v>0</v>
      </c>
      <c r="D85" s="12">
        <f>'PCFP-All Expense AA-1 Modif-8'!J68</f>
        <v>0</v>
      </c>
      <c r="E85" s="288"/>
    </row>
    <row r="86" spans="2:5" hidden="1" x14ac:dyDescent="0.2">
      <c r="B86" t="s">
        <v>191</v>
      </c>
      <c r="C86" s="12">
        <f>'19_20 District Budget Summa-8'!Q137</f>
        <v>0</v>
      </c>
      <c r="D86" s="12">
        <f>'PCFP-All Expense AA-1 Modif-8'!J69</f>
        <v>982300</v>
      </c>
      <c r="E86" s="288"/>
    </row>
    <row r="87" spans="2:5" hidden="1" x14ac:dyDescent="0.2">
      <c r="B87" t="s">
        <v>192</v>
      </c>
      <c r="C87" s="12">
        <f>'19_20 District Budget Summa-8'!Q138</f>
        <v>0</v>
      </c>
      <c r="D87" s="12">
        <f>'PCFP-All Expense AA-1 Modif-8'!J70</f>
        <v>0</v>
      </c>
      <c r="E87" s="288"/>
    </row>
    <row r="88" spans="2:5" hidden="1" x14ac:dyDescent="0.2">
      <c r="B88" t="s">
        <v>193</v>
      </c>
      <c r="C88" s="12">
        <f>'19_20 District Budget Summa-8'!Q139</f>
        <v>0</v>
      </c>
      <c r="D88" s="12">
        <f>'PCFP-All Expense AA-1 Modif-8'!J71</f>
        <v>0</v>
      </c>
      <c r="E88" s="288"/>
    </row>
    <row r="89" spans="2:5" hidden="1" x14ac:dyDescent="0.2">
      <c r="B89" t="s">
        <v>194</v>
      </c>
      <c r="C89" s="12">
        <f>'19_20 District Budget Summa-8'!Q140</f>
        <v>0</v>
      </c>
      <c r="D89" s="12">
        <f>'PCFP-All Expense AA-1 Modif-8'!J72</f>
        <v>0</v>
      </c>
      <c r="E89" s="288"/>
    </row>
    <row r="90" spans="2:5" hidden="1" x14ac:dyDescent="0.2">
      <c r="B90" t="s">
        <v>195</v>
      </c>
      <c r="C90" s="12">
        <f>'19_20 District Budget Summa-8'!Q141</f>
        <v>0</v>
      </c>
      <c r="D90" s="12">
        <f>'PCFP-All Expense AA-1 Modif-8'!J73</f>
        <v>0</v>
      </c>
      <c r="E90" s="288"/>
    </row>
    <row r="91" spans="2:5" hidden="1" x14ac:dyDescent="0.2">
      <c r="B91" t="s">
        <v>196</v>
      </c>
      <c r="C91" s="12">
        <f>'19_20 District Budget Summa-8'!Q142</f>
        <v>0</v>
      </c>
      <c r="D91" s="12">
        <f>'PCFP-All Expense AA-1 Modif-8'!J74</f>
        <v>0</v>
      </c>
      <c r="E91" s="288"/>
    </row>
    <row r="92" spans="2:5" hidden="1" x14ac:dyDescent="0.2">
      <c r="B92" t="s">
        <v>197</v>
      </c>
      <c r="C92" s="12">
        <f>'19_20 District Budget Summa-8'!Q143</f>
        <v>0</v>
      </c>
      <c r="D92" s="12">
        <f>'PCFP-All Expense AA-1 Modif-8'!J75</f>
        <v>0</v>
      </c>
      <c r="E92" s="288"/>
    </row>
    <row r="93" spans="2:5" hidden="1" x14ac:dyDescent="0.2">
      <c r="B93" t="s">
        <v>198</v>
      </c>
      <c r="C93" s="12">
        <f>'19_20 District Budget Summa-8'!Q144</f>
        <v>0</v>
      </c>
      <c r="D93" s="12">
        <f>'PCFP-All Expense AA-1 Modif-8'!J76</f>
        <v>0</v>
      </c>
      <c r="E93" s="288"/>
    </row>
    <row r="94" spans="2:5" hidden="1" x14ac:dyDescent="0.2">
      <c r="B94" t="s">
        <v>199</v>
      </c>
      <c r="C94" s="12">
        <f>'19_20 District Budget Summa-8'!Q145</f>
        <v>0</v>
      </c>
      <c r="D94" s="12">
        <f>'PCFP-All Expense AA-1 Modif-8'!J77</f>
        <v>0</v>
      </c>
      <c r="E94" s="288"/>
    </row>
    <row r="95" spans="2:5" hidden="1" x14ac:dyDescent="0.2">
      <c r="B95" t="s">
        <v>200</v>
      </c>
      <c r="C95" s="12">
        <f>'19_20 District Budget Summa-8'!Q146</f>
        <v>-1874441</v>
      </c>
      <c r="D95" s="12">
        <f>'PCFP-All Expense AA-1 Modif-8'!J78</f>
        <v>1968538</v>
      </c>
      <c r="E95" s="288"/>
    </row>
    <row r="96" spans="2:5" hidden="1" x14ac:dyDescent="0.2">
      <c r="B96" t="s">
        <v>201</v>
      </c>
      <c r="C96" s="12">
        <f>'19_20 District Budget Summa-8'!Q147</f>
        <v>0</v>
      </c>
      <c r="D96" s="12">
        <f>'PCFP-All Expense AA-1 Modif-8'!J79</f>
        <v>0</v>
      </c>
      <c r="E96" s="288"/>
    </row>
    <row r="97" spans="2:5" hidden="1" x14ac:dyDescent="0.2">
      <c r="B97" t="s">
        <v>202</v>
      </c>
      <c r="C97" s="12">
        <f>'19_20 District Budget Summa-8'!Q148</f>
        <v>0</v>
      </c>
      <c r="D97" s="12">
        <f>'PCFP-All Expense AA-1 Modif-8'!J80</f>
        <v>0</v>
      </c>
      <c r="E97" s="288"/>
    </row>
    <row r="98" spans="2:5" hidden="1" x14ac:dyDescent="0.2">
      <c r="B98" t="s">
        <v>203</v>
      </c>
      <c r="C98" s="12">
        <f>'19_20 District Budget Summa-8'!Q149</f>
        <v>0</v>
      </c>
      <c r="D98" s="12">
        <f>'PCFP-All Expense AA-1 Modif-8'!J81</f>
        <v>0</v>
      </c>
      <c r="E98" s="288"/>
    </row>
    <row r="99" spans="2:5" hidden="1" x14ac:dyDescent="0.2">
      <c r="B99" t="s">
        <v>204</v>
      </c>
      <c r="C99" s="12">
        <f>'19_20 District Budget Summa-8'!Q150</f>
        <v>0</v>
      </c>
      <c r="D99" s="12">
        <f>'PCFP-All Expense AA-1 Modif-8'!J82</f>
        <v>3594179</v>
      </c>
      <c r="E99" s="288"/>
    </row>
    <row r="100" spans="2:5" hidden="1" x14ac:dyDescent="0.2">
      <c r="B100" t="s">
        <v>205</v>
      </c>
      <c r="C100" s="12">
        <f>'19_20 District Budget Summa-8'!Q151</f>
        <v>0</v>
      </c>
      <c r="D100" s="12">
        <f>'PCFP-All Expense AA-1 Modif-8'!J83</f>
        <v>0</v>
      </c>
      <c r="E100" s="288"/>
    </row>
    <row r="101" spans="2:5" hidden="1" x14ac:dyDescent="0.2">
      <c r="B101" t="s">
        <v>206</v>
      </c>
      <c r="C101" s="12">
        <f>'19_20 District Budget Summa-8'!Q152</f>
        <v>0</v>
      </c>
      <c r="D101" s="12">
        <f>'PCFP-All Expense AA-1 Modif-8'!J84</f>
        <v>1178045</v>
      </c>
      <c r="E101" s="288"/>
    </row>
    <row r="102" spans="2:5" hidden="1" x14ac:dyDescent="0.2">
      <c r="B102" t="s">
        <v>207</v>
      </c>
      <c r="C102" s="12">
        <f>'19_20 District Budget Summa-8'!Q153</f>
        <v>0</v>
      </c>
      <c r="D102" s="12">
        <f>'PCFP-All Expense AA-1 Modif-8'!J85</f>
        <v>0</v>
      </c>
      <c r="E102" s="288"/>
    </row>
    <row r="103" spans="2:5" hidden="1" x14ac:dyDescent="0.2">
      <c r="B103" t="s">
        <v>208</v>
      </c>
      <c r="C103" s="12">
        <f>'19_20 District Budget Summa-8'!Q154</f>
        <v>0</v>
      </c>
      <c r="D103" s="12">
        <f>'PCFP-All Expense AA-1 Modif-8'!J86</f>
        <v>84254</v>
      </c>
      <c r="E103" s="288"/>
    </row>
    <row r="104" spans="2:5" hidden="1" x14ac:dyDescent="0.2">
      <c r="B104" t="s">
        <v>209</v>
      </c>
      <c r="C104" s="12">
        <f>'19_20 District Budget Summa-8'!Q155</f>
        <v>0</v>
      </c>
      <c r="D104" s="12">
        <f>'PCFP-All Expense AA-1 Modif-8'!J87</f>
        <v>0</v>
      </c>
      <c r="E104" s="288"/>
    </row>
    <row r="105" spans="2:5" hidden="1" x14ac:dyDescent="0.2">
      <c r="B105" t="s">
        <v>210</v>
      </c>
      <c r="C105" s="12">
        <f>'19_20 District Budget Summa-8'!Q156</f>
        <v>0</v>
      </c>
      <c r="D105" s="12">
        <f>'PCFP-All Expense AA-1 Modif-8'!J88</f>
        <v>0</v>
      </c>
      <c r="E105" s="288"/>
    </row>
    <row r="106" spans="2:5" hidden="1" x14ac:dyDescent="0.2">
      <c r="B106" t="s">
        <v>211</v>
      </c>
      <c r="C106" s="12">
        <f>'19_20 District Budget Summa-8'!Q157</f>
        <v>0</v>
      </c>
      <c r="D106" s="12">
        <f>'PCFP-All Expense AA-1 Modif-8'!J89</f>
        <v>0</v>
      </c>
      <c r="E106" s="288"/>
    </row>
    <row r="107" spans="2:5" hidden="1" x14ac:dyDescent="0.2">
      <c r="B107" t="s">
        <v>212</v>
      </c>
      <c r="C107" s="12">
        <f>'19_20 District Budget Summa-8'!Q158</f>
        <v>0</v>
      </c>
      <c r="D107" s="12">
        <f>'PCFP-All Expense AA-1 Modif-8'!J90</f>
        <v>0</v>
      </c>
      <c r="E107" s="288"/>
    </row>
    <row r="108" spans="2:5" hidden="1" x14ac:dyDescent="0.2">
      <c r="B108" t="s">
        <v>213</v>
      </c>
      <c r="C108" s="12">
        <f>'19_20 District Budget Summa-8'!Q159</f>
        <v>0</v>
      </c>
      <c r="D108" s="12">
        <f>'PCFP-All Expense AA-1 Modif-8'!J91</f>
        <v>0</v>
      </c>
      <c r="E108" s="288"/>
    </row>
    <row r="109" spans="2:5" hidden="1" x14ac:dyDescent="0.2">
      <c r="B109" t="s">
        <v>214</v>
      </c>
      <c r="C109" s="12">
        <f>'19_20 District Budget Summa-8'!Q160</f>
        <v>0</v>
      </c>
      <c r="D109" s="12">
        <f>'PCFP-All Expense AA-1 Modif-8'!J92</f>
        <v>0</v>
      </c>
      <c r="E109" s="288"/>
    </row>
    <row r="110" spans="2:5" hidden="1" x14ac:dyDescent="0.2">
      <c r="B110" t="s">
        <v>215</v>
      </c>
      <c r="C110" s="12">
        <f>'19_20 District Budget Summa-8'!Q161</f>
        <v>0</v>
      </c>
      <c r="D110" s="12">
        <f>'PCFP-All Expense AA-1 Modif-8'!J93</f>
        <v>0</v>
      </c>
      <c r="E110" s="288"/>
    </row>
    <row r="111" spans="2:5" hidden="1" x14ac:dyDescent="0.2">
      <c r="B111" t="s">
        <v>216</v>
      </c>
      <c r="C111" s="12">
        <f>'19_20 District Budget Summa-8'!Q162</f>
        <v>0</v>
      </c>
      <c r="D111" s="12">
        <f>'PCFP-All Expense AA-1 Modif-8'!J94</f>
        <v>0</v>
      </c>
      <c r="E111" s="288"/>
    </row>
    <row r="112" spans="2:5" hidden="1" x14ac:dyDescent="0.2">
      <c r="B112" t="s">
        <v>217</v>
      </c>
      <c r="C112" s="12">
        <f>'19_20 District Budget Summa-8'!Q163</f>
        <v>0</v>
      </c>
      <c r="D112" s="12">
        <f>'PCFP-All Expense AA-1 Modif-8'!J95</f>
        <v>0</v>
      </c>
      <c r="E112" s="288"/>
    </row>
    <row r="113" spans="1:5" hidden="1" x14ac:dyDescent="0.2">
      <c r="B113" t="s">
        <v>218</v>
      </c>
      <c r="C113" s="12">
        <f>'19_20 District Budget Summa-8'!Q164</f>
        <v>0</v>
      </c>
      <c r="D113" s="12">
        <f>'PCFP-All Expense AA-1 Modif-8'!J96</f>
        <v>0</v>
      </c>
      <c r="E113" s="288"/>
    </row>
    <row r="114" spans="1:5" hidden="1" x14ac:dyDescent="0.2">
      <c r="B114" t="s">
        <v>219</v>
      </c>
      <c r="C114" s="12">
        <f>'19_20 District Budget Summa-8'!Q165</f>
        <v>0</v>
      </c>
      <c r="D114" s="12">
        <f>'PCFP-All Expense AA-1 Modif-8'!J97</f>
        <v>0</v>
      </c>
      <c r="E114" s="288"/>
    </row>
    <row r="115" spans="1:5" hidden="1" x14ac:dyDescent="0.2">
      <c r="B115" t="s">
        <v>220</v>
      </c>
      <c r="C115" s="12">
        <f>'19_20 District Budget Summa-8'!Q166</f>
        <v>0</v>
      </c>
      <c r="D115" s="12">
        <f>'PCFP-All Expense AA-1 Modif-8'!J98</f>
        <v>0</v>
      </c>
      <c r="E115" s="288"/>
    </row>
    <row r="116" spans="1:5" hidden="1" x14ac:dyDescent="0.2">
      <c r="B116" t="s">
        <v>221</v>
      </c>
      <c r="C116" s="12">
        <f>'19_20 District Budget Summa-8'!Q167</f>
        <v>0</v>
      </c>
      <c r="D116" s="12">
        <f>'PCFP-All Expense AA-1 Modif-8'!J99</f>
        <v>0</v>
      </c>
      <c r="E116" s="288"/>
    </row>
    <row r="117" spans="1:5" hidden="1" x14ac:dyDescent="0.2">
      <c r="A117" s="2" t="s">
        <v>10</v>
      </c>
      <c r="B117" t="s">
        <v>142</v>
      </c>
      <c r="C117" s="12">
        <f>'19_20 District Budget Summa-8'!Q168</f>
        <v>0</v>
      </c>
      <c r="D117" s="12">
        <f>'PCFP-All Expense AA-1 Modif-8'!J100</f>
        <v>0</v>
      </c>
      <c r="E117" s="288"/>
    </row>
    <row r="118" spans="1:5" hidden="1" x14ac:dyDescent="0.2">
      <c r="A118" s="2" t="s">
        <v>10</v>
      </c>
      <c r="B118" t="s">
        <v>141</v>
      </c>
      <c r="C118" s="12">
        <f>'19_20 District Budget Summa-8'!Q169</f>
        <v>0</v>
      </c>
      <c r="D118" s="12">
        <f>'PCFP-All Expense AA-1 Modif-8'!J101</f>
        <v>0</v>
      </c>
      <c r="E118" s="288"/>
    </row>
    <row r="119" spans="1:5" hidden="1" x14ac:dyDescent="0.2">
      <c r="A119" s="2" t="s">
        <v>33</v>
      </c>
      <c r="B119" t="s">
        <v>222</v>
      </c>
      <c r="C119" s="12">
        <f>'19_20 District Budget Summa-8'!Q170</f>
        <v>0</v>
      </c>
      <c r="D119" s="12">
        <f>'PCFP-All Expense AA-1 Modif-8'!J102</f>
        <v>0</v>
      </c>
      <c r="E119" s="288"/>
    </row>
    <row r="120" spans="1:5" hidden="1" x14ac:dyDescent="0.2">
      <c r="A120" s="2" t="s">
        <v>10</v>
      </c>
      <c r="B120" t="s">
        <v>138</v>
      </c>
      <c r="C120" s="12">
        <f>'19_20 District Budget Summa-8'!Q171</f>
        <v>0</v>
      </c>
      <c r="D120" s="12">
        <f>'PCFP-All Expense AA-1 Modif-8'!J103</f>
        <v>0</v>
      </c>
      <c r="E120" s="288"/>
    </row>
    <row r="121" spans="1:5" hidden="1" x14ac:dyDescent="0.2">
      <c r="A121" s="2" t="s">
        <v>10</v>
      </c>
      <c r="B121" t="s">
        <v>136</v>
      </c>
      <c r="C121" s="12">
        <f>'19_20 District Budget Summa-8'!Q172</f>
        <v>0</v>
      </c>
      <c r="D121" s="12">
        <f>'PCFP-All Expense AA-1 Modif-8'!J104</f>
        <v>0</v>
      </c>
      <c r="E121" s="288"/>
    </row>
    <row r="122" spans="1:5" hidden="1" x14ac:dyDescent="0.2">
      <c r="B122" t="s">
        <v>223</v>
      </c>
      <c r="C122" s="12">
        <f>'19_20 District Budget Summa-8'!Q173</f>
        <v>0</v>
      </c>
      <c r="D122" s="12">
        <f>'PCFP-All Expense AA-1 Modif-8'!J105</f>
        <v>0</v>
      </c>
      <c r="E122" s="288"/>
    </row>
    <row r="123" spans="1:5" hidden="1" x14ac:dyDescent="0.2">
      <c r="B123" t="s">
        <v>224</v>
      </c>
      <c r="C123" s="12">
        <f>'19_20 District Budget Summa-8'!Q174</f>
        <v>0</v>
      </c>
      <c r="D123" s="12">
        <f>'PCFP-All Expense AA-1 Modif-8'!J106</f>
        <v>0</v>
      </c>
      <c r="E123" s="288"/>
    </row>
    <row r="124" spans="1:5" hidden="1" x14ac:dyDescent="0.2">
      <c r="B124" t="s">
        <v>225</v>
      </c>
      <c r="C124" s="12">
        <f>'19_20 District Budget Summa-8'!Q175</f>
        <v>0</v>
      </c>
      <c r="D124" s="12">
        <f>'PCFP-All Expense AA-1 Modif-8'!J107</f>
        <v>93015</v>
      </c>
      <c r="E124" s="288"/>
    </row>
    <row r="125" spans="1:5" hidden="1" x14ac:dyDescent="0.2">
      <c r="B125" t="s">
        <v>226</v>
      </c>
      <c r="C125" s="12">
        <f>'19_20 District Budget Summa-8'!Q176</f>
        <v>0</v>
      </c>
      <c r="D125" s="12">
        <f>'PCFP-All Expense AA-1 Modif-8'!J108</f>
        <v>0</v>
      </c>
      <c r="E125" s="288"/>
    </row>
    <row r="126" spans="1:5" hidden="1" x14ac:dyDescent="0.2">
      <c r="B126" t="s">
        <v>227</v>
      </c>
      <c r="C126" s="12">
        <f>'19_20 District Budget Summa-8'!Q177</f>
        <v>0</v>
      </c>
      <c r="D126" s="12">
        <f>'PCFP-All Expense AA-1 Modif-8'!J109</f>
        <v>0</v>
      </c>
      <c r="E126" s="288"/>
    </row>
    <row r="127" spans="1:5" hidden="1" x14ac:dyDescent="0.2">
      <c r="B127" t="s">
        <v>228</v>
      </c>
      <c r="C127" s="12">
        <f>'19_20 District Budget Summa-8'!Q178</f>
        <v>0</v>
      </c>
      <c r="D127" s="12">
        <f>'PCFP-All Expense AA-1 Modif-8'!J110</f>
        <v>0</v>
      </c>
      <c r="E127" s="288"/>
    </row>
    <row r="128" spans="1:5" hidden="1" x14ac:dyDescent="0.2">
      <c r="B128" t="s">
        <v>229</v>
      </c>
      <c r="C128" s="12">
        <f>'19_20 District Budget Summa-8'!Q179</f>
        <v>0</v>
      </c>
      <c r="D128" s="12">
        <f>'PCFP-All Expense AA-1 Modif-8'!J111</f>
        <v>0</v>
      </c>
      <c r="E128" s="288"/>
    </row>
    <row r="129" spans="2:5" hidden="1" x14ac:dyDescent="0.2">
      <c r="B129" t="s">
        <v>230</v>
      </c>
      <c r="C129" s="12">
        <f>'19_20 District Budget Summa-8'!Q180</f>
        <v>0</v>
      </c>
      <c r="D129" s="12">
        <f>'PCFP-All Expense AA-1 Modif-8'!J112</f>
        <v>0</v>
      </c>
      <c r="E129" s="288"/>
    </row>
    <row r="130" spans="2:5" hidden="1" x14ac:dyDescent="0.2">
      <c r="B130" t="s">
        <v>231</v>
      </c>
      <c r="C130" s="12">
        <f>'19_20 District Budget Summa-8'!Q181</f>
        <v>0</v>
      </c>
      <c r="D130" s="12">
        <f>'PCFP-All Expense AA-1 Modif-8'!J113</f>
        <v>0</v>
      </c>
      <c r="E130" s="288"/>
    </row>
    <row r="131" spans="2:5" hidden="1" x14ac:dyDescent="0.2">
      <c r="B131" t="s">
        <v>232</v>
      </c>
      <c r="C131" s="12">
        <f>'19_20 District Budget Summa-8'!Q182</f>
        <v>0</v>
      </c>
      <c r="D131" s="12">
        <f>'PCFP-All Expense AA-1 Modif-8'!J114</f>
        <v>0</v>
      </c>
      <c r="E131" s="288"/>
    </row>
    <row r="132" spans="2:5" hidden="1" x14ac:dyDescent="0.2">
      <c r="B132" t="s">
        <v>233</v>
      </c>
      <c r="C132" s="12">
        <f>'19_20 District Budget Summa-8'!Q183</f>
        <v>0</v>
      </c>
      <c r="D132" s="12">
        <f>'PCFP-All Expense AA-1 Modif-8'!J115</f>
        <v>0</v>
      </c>
      <c r="E132" s="288"/>
    </row>
    <row r="133" spans="2:5" hidden="1" x14ac:dyDescent="0.2">
      <c r="B133" t="s">
        <v>234</v>
      </c>
      <c r="C133" s="12">
        <f>'19_20 District Budget Summa-8'!Q184</f>
        <v>0</v>
      </c>
      <c r="D133" s="12">
        <f>'PCFP-All Expense AA-1 Modif-8'!J116</f>
        <v>0</v>
      </c>
      <c r="E133" s="288"/>
    </row>
    <row r="134" spans="2:5" hidden="1" x14ac:dyDescent="0.2">
      <c r="B134" t="s">
        <v>9</v>
      </c>
      <c r="C134" s="12">
        <f>'19_20 District Budget Summa-8'!Q185</f>
        <v>0</v>
      </c>
      <c r="D134" s="12">
        <f>'PCFP-All Expense AA-1 Modif-8'!J117</f>
        <v>4498062</v>
      </c>
      <c r="E134" s="288"/>
    </row>
    <row r="135" spans="2:5" hidden="1" x14ac:dyDescent="0.2">
      <c r="B135" s="3" t="s">
        <v>235</v>
      </c>
      <c r="C135" s="12">
        <f>'19_20 District Budget Summa-8'!Q187</f>
        <v>0</v>
      </c>
      <c r="D135" s="12">
        <f>'PCFP-All Expense AA-1 Modif-8'!J118</f>
        <v>0</v>
      </c>
      <c r="E135" s="288"/>
    </row>
    <row r="136" spans="2:5" hidden="1" x14ac:dyDescent="0.2">
      <c r="B136" t="s">
        <v>236</v>
      </c>
      <c r="C136" s="12">
        <f>'19_20 District Budget Summa-8'!Q188</f>
        <v>0</v>
      </c>
      <c r="D136" s="12">
        <f>'PCFP-All Expense AA-1 Modif-8'!J119</f>
        <v>4587347</v>
      </c>
      <c r="E136" s="288"/>
    </row>
    <row r="137" spans="2:5" hidden="1" x14ac:dyDescent="0.2">
      <c r="B137" t="s">
        <v>237</v>
      </c>
      <c r="C137" s="12">
        <f>'19_20 District Budget Summa-8'!Q189</f>
        <v>0</v>
      </c>
      <c r="D137" s="12">
        <f>'PCFP-All Expense AA-1 Modif-8'!J120</f>
        <v>0</v>
      </c>
      <c r="E137" s="288"/>
    </row>
    <row r="138" spans="2:5" hidden="1" x14ac:dyDescent="0.2">
      <c r="B138" t="s">
        <v>238</v>
      </c>
      <c r="C138" s="12">
        <f>'19_20 District Budget Summa-8'!Q190</f>
        <v>0</v>
      </c>
      <c r="D138" s="12">
        <f>'PCFP-All Expense AA-1 Modif-8'!J121</f>
        <v>0</v>
      </c>
      <c r="E138" s="288"/>
    </row>
    <row r="139" spans="2:5" hidden="1" x14ac:dyDescent="0.2">
      <c r="B139" t="s">
        <v>239</v>
      </c>
      <c r="C139" s="12">
        <f>'19_20 District Budget Summa-8'!Q191</f>
        <v>0</v>
      </c>
      <c r="D139" s="12">
        <f>'PCFP-All Expense AA-1 Modif-8'!J122</f>
        <v>0</v>
      </c>
      <c r="E139" s="288"/>
    </row>
    <row r="140" spans="2:5" hidden="1" x14ac:dyDescent="0.2">
      <c r="B140" t="s">
        <v>240</v>
      </c>
      <c r="C140" s="12">
        <f>'19_20 District Budget Summa-8'!Q192</f>
        <v>0</v>
      </c>
      <c r="D140" s="12">
        <f>'PCFP-All Expense AA-1 Modif-8'!J123</f>
        <v>0</v>
      </c>
      <c r="E140" s="288"/>
    </row>
    <row r="141" spans="2:5" hidden="1" x14ac:dyDescent="0.2">
      <c r="B141" t="s">
        <v>241</v>
      </c>
      <c r="C141" s="12">
        <f>'19_20 District Budget Summa-8'!Q193</f>
        <v>0</v>
      </c>
      <c r="D141" s="12">
        <f>'PCFP-All Expense AA-1 Modif-8'!J124</f>
        <v>0</v>
      </c>
      <c r="E141" s="288"/>
    </row>
    <row r="142" spans="2:5" hidden="1" x14ac:dyDescent="0.2">
      <c r="B142" t="s">
        <v>242</v>
      </c>
      <c r="C142" s="12">
        <f>'19_20 District Budget Summa-8'!Q194</f>
        <v>0</v>
      </c>
      <c r="D142" s="12">
        <f>'PCFP-All Expense AA-1 Modif-8'!J125</f>
        <v>0</v>
      </c>
      <c r="E142" s="288"/>
    </row>
    <row r="143" spans="2:5" hidden="1" x14ac:dyDescent="0.2">
      <c r="B143" t="s">
        <v>243</v>
      </c>
      <c r="C143" s="12">
        <f>'19_20 District Budget Summa-8'!Q195</f>
        <v>0</v>
      </c>
      <c r="D143" s="12">
        <f>'PCFP-All Expense AA-1 Modif-8'!J126</f>
        <v>0</v>
      </c>
      <c r="E143" s="288"/>
    </row>
    <row r="144" spans="2:5" hidden="1" x14ac:dyDescent="0.2">
      <c r="B144" t="s">
        <v>244</v>
      </c>
      <c r="C144" s="12">
        <f>'19_20 District Budget Summa-8'!Q196</f>
        <v>0</v>
      </c>
      <c r="D144" s="12">
        <f>'PCFP-All Expense AA-1 Modif-8'!J127</f>
        <v>0</v>
      </c>
      <c r="E144" s="288"/>
    </row>
    <row r="145" spans="2:5" hidden="1" x14ac:dyDescent="0.2">
      <c r="B145" s="2" t="s">
        <v>245</v>
      </c>
      <c r="D145" s="12">
        <f>'PCFP-All Expense AA-1 Modif-8'!J128</f>
        <v>0</v>
      </c>
      <c r="E145" s="288"/>
    </row>
    <row r="146" spans="2:5" hidden="1" x14ac:dyDescent="0.2">
      <c r="B146" t="s">
        <v>246</v>
      </c>
      <c r="C146" s="12">
        <f>'19_20 District Budget Summa-8'!Q198</f>
        <v>0</v>
      </c>
      <c r="D146" s="12">
        <f>'PCFP-All Expense AA-1 Modif-8'!J129</f>
        <v>0</v>
      </c>
      <c r="E146" s="288"/>
    </row>
    <row r="147" spans="2:5" hidden="1" x14ac:dyDescent="0.2">
      <c r="B147" t="s">
        <v>247</v>
      </c>
      <c r="C147" s="12">
        <f>'19_20 District Budget Summa-8'!Q199</f>
        <v>0</v>
      </c>
      <c r="D147" s="12">
        <f>'PCFP-All Expense AA-1 Modif-8'!J130</f>
        <v>0</v>
      </c>
      <c r="E147" s="288"/>
    </row>
    <row r="148" spans="2:5" hidden="1" x14ac:dyDescent="0.2">
      <c r="B148" t="s">
        <v>248</v>
      </c>
      <c r="C148" s="12">
        <f>'19_20 District Budget Summa-8'!Q200</f>
        <v>0</v>
      </c>
      <c r="D148" s="12">
        <f>'PCFP-All Expense AA-1 Modif-8'!J131</f>
        <v>0</v>
      </c>
      <c r="E148" s="288"/>
    </row>
    <row r="149" spans="2:5" hidden="1" x14ac:dyDescent="0.2">
      <c r="B149" t="s">
        <v>249</v>
      </c>
      <c r="C149" s="12">
        <f>'19_20 District Budget Summa-8'!Q201</f>
        <v>0</v>
      </c>
      <c r="D149" s="12">
        <f>'PCFP-All Expense AA-1 Modif-8'!J132</f>
        <v>0</v>
      </c>
      <c r="E149" s="288"/>
    </row>
    <row r="150" spans="2:5" hidden="1" x14ac:dyDescent="0.2">
      <c r="B150" t="s">
        <v>250</v>
      </c>
      <c r="C150" s="12">
        <f>'19_20 District Budget Summa-8'!Q202</f>
        <v>0</v>
      </c>
      <c r="D150" s="12">
        <f>'PCFP-All Expense AA-1 Modif-8'!J133</f>
        <v>0</v>
      </c>
      <c r="E150" s="288"/>
    </row>
    <row r="151" spans="2:5" hidden="1" x14ac:dyDescent="0.2">
      <c r="B151" t="s">
        <v>251</v>
      </c>
      <c r="C151" s="12">
        <f>'19_20 District Budget Summa-8'!Q203</f>
        <v>0</v>
      </c>
      <c r="D151" s="12">
        <f>'PCFP-All Expense AA-1 Modif-8'!J134</f>
        <v>0</v>
      </c>
      <c r="E151" s="288"/>
    </row>
    <row r="152" spans="2:5" hidden="1" x14ac:dyDescent="0.2">
      <c r="B152" t="s">
        <v>252</v>
      </c>
      <c r="C152" s="12">
        <f>'19_20 District Budget Summa-8'!Q204</f>
        <v>0</v>
      </c>
      <c r="D152" s="12">
        <f>'PCFP-All Expense AA-1 Modif-8'!J135</f>
        <v>0</v>
      </c>
      <c r="E152" s="288"/>
    </row>
    <row r="153" spans="2:5" hidden="1" x14ac:dyDescent="0.2">
      <c r="B153" t="s">
        <v>253</v>
      </c>
      <c r="C153" s="12">
        <f>'19_20 District Budget Summa-8'!Q205</f>
        <v>0</v>
      </c>
      <c r="D153" s="12">
        <f>'PCFP-All Expense AA-1 Modif-8'!J136</f>
        <v>0</v>
      </c>
      <c r="E153" s="288"/>
    </row>
    <row r="154" spans="2:5" hidden="1" x14ac:dyDescent="0.2">
      <c r="B154" t="s">
        <v>254</v>
      </c>
      <c r="C154" s="12">
        <f>'19_20 District Budget Summa-8'!Q206</f>
        <v>0</v>
      </c>
      <c r="D154" s="12">
        <f>'PCFP-All Expense AA-1 Modif-8'!J137</f>
        <v>0</v>
      </c>
      <c r="E154" s="288"/>
    </row>
    <row r="155" spans="2:5" hidden="1" x14ac:dyDescent="0.2">
      <c r="B155" t="s">
        <v>255</v>
      </c>
      <c r="C155" s="12">
        <f>'19_20 District Budget Summa-8'!Q207</f>
        <v>0</v>
      </c>
      <c r="D155" s="12">
        <f>'PCFP-All Expense AA-1 Modif-8'!J138</f>
        <v>0</v>
      </c>
      <c r="E155" s="288"/>
    </row>
    <row r="156" spans="2:5" hidden="1" x14ac:dyDescent="0.2">
      <c r="B156" t="s">
        <v>256</v>
      </c>
      <c r="C156" s="12">
        <f>'19_20 District Budget Summa-8'!Q208</f>
        <v>0</v>
      </c>
      <c r="D156" s="12">
        <f>'PCFP-All Expense AA-1 Modif-8'!J139</f>
        <v>0</v>
      </c>
      <c r="E156" s="288"/>
    </row>
    <row r="157" spans="2:5" hidden="1" x14ac:dyDescent="0.2">
      <c r="B157" t="s">
        <v>257</v>
      </c>
      <c r="C157" s="12">
        <f>'19_20 District Budget Summa-8'!Q209</f>
        <v>0</v>
      </c>
      <c r="D157" s="12">
        <f>'PCFP-All Expense AA-1 Modif-8'!J140</f>
        <v>0</v>
      </c>
      <c r="E157" s="288"/>
    </row>
    <row r="158" spans="2:5" hidden="1" x14ac:dyDescent="0.2">
      <c r="B158" t="s">
        <v>258</v>
      </c>
      <c r="C158" s="12">
        <f>'19_20 District Budget Summa-8'!Q210</f>
        <v>0</v>
      </c>
      <c r="D158" s="12">
        <f>'PCFP-All Expense AA-1 Modif-8'!J141</f>
        <v>0</v>
      </c>
      <c r="E158" s="288"/>
    </row>
    <row r="159" spans="2:5" hidden="1" x14ac:dyDescent="0.2">
      <c r="B159" t="s">
        <v>259</v>
      </c>
      <c r="C159" s="12">
        <f>'19_20 District Budget Summa-8'!Q211</f>
        <v>12000</v>
      </c>
      <c r="D159" s="12">
        <f>'PCFP-All Expense AA-1 Modif-8'!J142</f>
        <v>84018</v>
      </c>
      <c r="E159" s="288"/>
    </row>
    <row r="160" spans="2:5" hidden="1" x14ac:dyDescent="0.2">
      <c r="B160" t="s">
        <v>260</v>
      </c>
      <c r="C160" s="12">
        <f>'19_20 District Budget Summa-8'!Q212</f>
        <v>240000</v>
      </c>
      <c r="D160" s="12">
        <f>'PCFP-All Expense AA-1 Modif-8'!J143</f>
        <v>1587049</v>
      </c>
      <c r="E160" s="288"/>
    </row>
    <row r="161" spans="2:5" hidden="1" x14ac:dyDescent="0.2">
      <c r="B161" t="str">
        <f>'PCFP-All Expense AA-1 Modif-8'!B146</f>
        <v>Less:  Interfund Transfers</v>
      </c>
      <c r="C161" s="12">
        <v>0</v>
      </c>
      <c r="D161" s="12">
        <f>'PCFP-All Expense AA-1 Modif-8'!J146</f>
        <v>-4419443</v>
      </c>
      <c r="E161" s="288"/>
    </row>
  </sheetData>
  <pageMargins left="0.7" right="0.7" top="0.75" bottom="0.75" header="0.3" footer="0.3"/>
  <pageSetup scale="8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75F5-4ADD-4AC2-8EAF-6CA66F303CF4}">
  <dimension ref="A1:U213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5.7109375" style="2" bestFit="1" customWidth="1"/>
    <col min="2" max="2" width="41.140625" style="3" bestFit="1" customWidth="1"/>
    <col min="3" max="3" width="16.7109375" style="933" bestFit="1" customWidth="1"/>
    <col min="4" max="4" width="14.85546875" style="933" bestFit="1" customWidth="1"/>
    <col min="5" max="5" width="15.140625" style="933" bestFit="1" customWidth="1"/>
    <col min="6" max="6" width="15.28515625" style="933" bestFit="1" customWidth="1"/>
    <col min="7" max="7" width="15" style="933" bestFit="1" customWidth="1"/>
    <col min="8" max="8" width="12.7109375" style="933" bestFit="1" customWidth="1"/>
    <col min="9" max="9" width="15" style="933" bestFit="1" customWidth="1"/>
    <col min="10" max="11" width="13.85546875" style="933" bestFit="1" customWidth="1"/>
    <col min="12" max="12" width="15" style="933" bestFit="1" customWidth="1"/>
    <col min="13" max="13" width="13.85546875" style="933" bestFit="1" customWidth="1"/>
    <col min="14" max="14" width="15" style="933" bestFit="1" customWidth="1"/>
    <col min="15" max="15" width="14.7109375" style="933" bestFit="1" customWidth="1"/>
    <col min="16" max="16" width="15.7109375" style="933" bestFit="1" customWidth="1"/>
    <col min="17" max="17" width="45.28515625" style="3" bestFit="1" customWidth="1"/>
    <col min="18" max="18" width="16.7109375" style="3" bestFit="1" customWidth="1"/>
    <col min="19" max="19" width="16.5703125" hidden="1" customWidth="1"/>
    <col min="20" max="20" width="36" style="520" hidden="1" customWidth="1"/>
  </cols>
  <sheetData>
    <row r="1" spans="1:20" s="8" customFormat="1" ht="18" x14ac:dyDescent="0.25">
      <c r="A1" s="6"/>
      <c r="B1" s="9" t="s">
        <v>261</v>
      </c>
      <c r="C1" s="10" t="s">
        <v>630</v>
      </c>
      <c r="D1" s="10" t="s">
        <v>119</v>
      </c>
      <c r="E1" s="332" t="s">
        <v>262</v>
      </c>
      <c r="F1" s="333">
        <v>57038081</v>
      </c>
      <c r="G1" s="10"/>
      <c r="H1" s="10"/>
      <c r="I1" s="10"/>
      <c r="K1" s="10"/>
      <c r="L1" s="10"/>
      <c r="M1" s="10"/>
      <c r="O1" s="10"/>
      <c r="P1" s="10"/>
      <c r="T1" s="517"/>
    </row>
    <row r="3" spans="1:20" s="15" customFormat="1" ht="38.25" x14ac:dyDescent="0.2">
      <c r="A3" s="13"/>
      <c r="B3" s="13" t="s">
        <v>120</v>
      </c>
      <c r="C3" s="14" t="s">
        <v>263</v>
      </c>
      <c r="D3" s="14" t="s">
        <v>173</v>
      </c>
      <c r="E3" s="14" t="s">
        <v>9</v>
      </c>
      <c r="F3" s="14" t="s">
        <v>204</v>
      </c>
      <c r="G3" s="14" t="s">
        <v>236</v>
      </c>
      <c r="H3" s="14" t="s">
        <v>595</v>
      </c>
      <c r="I3" s="14" t="s">
        <v>206</v>
      </c>
      <c r="J3" s="14" t="s">
        <v>185</v>
      </c>
      <c r="K3" s="14" t="s">
        <v>186</v>
      </c>
      <c r="L3" s="14" t="s">
        <v>200</v>
      </c>
      <c r="M3" s="14" t="s">
        <v>631</v>
      </c>
      <c r="N3" s="14" t="s">
        <v>270</v>
      </c>
      <c r="O3" s="14" t="s">
        <v>632</v>
      </c>
      <c r="P3" s="14" t="s">
        <v>633</v>
      </c>
      <c r="Q3" s="14" t="s">
        <v>273</v>
      </c>
      <c r="R3" s="942"/>
      <c r="T3" s="518"/>
    </row>
    <row r="4" spans="1:20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942"/>
      <c r="S4" s="290">
        <f>SUM(S5:S11)</f>
        <v>22332991</v>
      </c>
      <c r="T4" s="518"/>
    </row>
    <row r="5" spans="1:20" s="291" customFormat="1" x14ac:dyDescent="0.2">
      <c r="A5" s="942"/>
      <c r="B5" s="932" t="s">
        <v>274</v>
      </c>
      <c r="C5" s="935">
        <v>6720863</v>
      </c>
      <c r="D5" s="935">
        <v>1663472</v>
      </c>
      <c r="E5" s="935">
        <v>0</v>
      </c>
      <c r="F5" s="935">
        <v>0</v>
      </c>
      <c r="G5" s="935">
        <v>0</v>
      </c>
      <c r="H5" s="935">
        <v>0</v>
      </c>
      <c r="I5" s="935">
        <v>0</v>
      </c>
      <c r="J5" s="935">
        <v>0</v>
      </c>
      <c r="K5" s="935">
        <v>0</v>
      </c>
      <c r="L5" s="935">
        <v>0</v>
      </c>
      <c r="M5" s="935">
        <v>0</v>
      </c>
      <c r="N5" s="935">
        <v>0</v>
      </c>
      <c r="O5" s="935">
        <v>0</v>
      </c>
      <c r="P5" s="935">
        <v>0</v>
      </c>
      <c r="Q5" s="935" t="str">
        <f t="shared" ref="Q5:Q27" si="0">B5</f>
        <v>Property Taxes</v>
      </c>
      <c r="R5" s="939">
        <f t="shared" ref="R5:R27" si="1">SUM(C5:P5)</f>
        <v>8384335</v>
      </c>
      <c r="S5" s="293">
        <f>R5-D5</f>
        <v>6720863</v>
      </c>
      <c r="T5" s="292" t="s">
        <v>275</v>
      </c>
    </row>
    <row r="6" spans="1:20" s="291" customFormat="1" x14ac:dyDescent="0.2">
      <c r="A6" s="942"/>
      <c r="B6" s="932" t="s">
        <v>474</v>
      </c>
      <c r="C6" s="935">
        <v>2394657</v>
      </c>
      <c r="D6" s="935">
        <v>0</v>
      </c>
      <c r="E6" s="935">
        <v>0</v>
      </c>
      <c r="F6" s="935">
        <v>0</v>
      </c>
      <c r="G6" s="935">
        <v>0</v>
      </c>
      <c r="H6" s="935">
        <v>0</v>
      </c>
      <c r="I6" s="935">
        <v>0</v>
      </c>
      <c r="J6" s="935">
        <v>0</v>
      </c>
      <c r="K6" s="935">
        <v>0</v>
      </c>
      <c r="L6" s="935">
        <v>0</v>
      </c>
      <c r="M6" s="935">
        <v>0</v>
      </c>
      <c r="N6" s="935">
        <v>0</v>
      </c>
      <c r="O6" s="935">
        <v>0</v>
      </c>
      <c r="P6" s="935">
        <v>0</v>
      </c>
      <c r="Q6" s="935" t="str">
        <f t="shared" si="0"/>
        <v>Net Proceeds from Mines</v>
      </c>
      <c r="R6" s="939">
        <f t="shared" si="1"/>
        <v>2394657</v>
      </c>
      <c r="S6" s="293">
        <f>R6-D6</f>
        <v>2394657</v>
      </c>
      <c r="T6" s="292" t="s">
        <v>473</v>
      </c>
    </row>
    <row r="7" spans="1:20" s="37" customFormat="1" x14ac:dyDescent="0.2">
      <c r="A7" s="3"/>
      <c r="B7" s="3" t="s">
        <v>276</v>
      </c>
      <c r="C7" s="935">
        <v>11719515</v>
      </c>
      <c r="D7" s="935">
        <v>0</v>
      </c>
      <c r="E7" s="935">
        <v>0</v>
      </c>
      <c r="F7" s="935">
        <v>0</v>
      </c>
      <c r="G7" s="935">
        <v>0</v>
      </c>
      <c r="H7" s="935">
        <v>0</v>
      </c>
      <c r="I7" s="935">
        <v>0</v>
      </c>
      <c r="J7" s="935">
        <v>0</v>
      </c>
      <c r="K7" s="935">
        <v>0</v>
      </c>
      <c r="L7" s="935">
        <v>0</v>
      </c>
      <c r="M7" s="935">
        <v>0</v>
      </c>
      <c r="N7" s="935">
        <v>0</v>
      </c>
      <c r="O7" s="935">
        <v>0</v>
      </c>
      <c r="P7" s="935">
        <v>0</v>
      </c>
      <c r="Q7" s="935" t="str">
        <f t="shared" si="0"/>
        <v>School Support Taxes</v>
      </c>
      <c r="R7" s="939">
        <f t="shared" si="1"/>
        <v>11719515</v>
      </c>
      <c r="S7" s="38">
        <f>R7</f>
        <v>11719515</v>
      </c>
      <c r="T7" s="519" t="s">
        <v>275</v>
      </c>
    </row>
    <row r="8" spans="1:20" s="37" customFormat="1" hidden="1" x14ac:dyDescent="0.2">
      <c r="A8" s="3"/>
      <c r="B8" s="3" t="s">
        <v>551</v>
      </c>
      <c r="C8" s="935">
        <v>0</v>
      </c>
      <c r="D8" s="935">
        <v>0</v>
      </c>
      <c r="E8" s="935">
        <v>0</v>
      </c>
      <c r="F8" s="935">
        <v>0</v>
      </c>
      <c r="G8" s="935">
        <v>0</v>
      </c>
      <c r="H8" s="935">
        <v>0</v>
      </c>
      <c r="I8" s="935">
        <v>0</v>
      </c>
      <c r="J8" s="935">
        <v>0</v>
      </c>
      <c r="K8" s="935">
        <v>0</v>
      </c>
      <c r="L8" s="935">
        <v>0</v>
      </c>
      <c r="M8" s="935">
        <v>0</v>
      </c>
      <c r="N8" s="935">
        <v>0</v>
      </c>
      <c r="O8" s="935">
        <v>0</v>
      </c>
      <c r="P8" s="935">
        <v>0</v>
      </c>
      <c r="Q8" s="935" t="str">
        <f t="shared" si="0"/>
        <v>Real Estate Transfer Tax</v>
      </c>
      <c r="R8" s="939">
        <f t="shared" si="1"/>
        <v>0</v>
      </c>
      <c r="T8" s="519"/>
    </row>
    <row r="9" spans="1:20" s="37" customFormat="1" hidden="1" x14ac:dyDescent="0.2">
      <c r="A9" s="3"/>
      <c r="B9" s="3" t="s">
        <v>550</v>
      </c>
      <c r="C9" s="935">
        <v>0</v>
      </c>
      <c r="D9" s="935">
        <v>0</v>
      </c>
      <c r="E9" s="935">
        <v>0</v>
      </c>
      <c r="F9" s="935">
        <v>0</v>
      </c>
      <c r="G9" s="935">
        <v>0</v>
      </c>
      <c r="H9" s="935">
        <v>0</v>
      </c>
      <c r="I9" s="935">
        <v>0</v>
      </c>
      <c r="J9" s="935">
        <v>0</v>
      </c>
      <c r="K9" s="935">
        <v>0</v>
      </c>
      <c r="L9" s="935">
        <v>0</v>
      </c>
      <c r="M9" s="935">
        <v>0</v>
      </c>
      <c r="N9" s="935">
        <v>0</v>
      </c>
      <c r="O9" s="935">
        <v>0</v>
      </c>
      <c r="P9" s="935">
        <v>0</v>
      </c>
      <c r="Q9" s="935" t="str">
        <f t="shared" si="0"/>
        <v>Room Tax</v>
      </c>
      <c r="R9" s="939">
        <f t="shared" si="1"/>
        <v>0</v>
      </c>
      <c r="S9" s="38">
        <f>R9</f>
        <v>0</v>
      </c>
      <c r="T9" s="519" t="s">
        <v>275</v>
      </c>
    </row>
    <row r="10" spans="1:20" s="37" customFormat="1" hidden="1" x14ac:dyDescent="0.2">
      <c r="A10" s="3"/>
      <c r="B10" s="3" t="s">
        <v>277</v>
      </c>
      <c r="C10" s="935">
        <v>0</v>
      </c>
      <c r="D10" s="935">
        <v>0</v>
      </c>
      <c r="E10" s="935">
        <v>0</v>
      </c>
      <c r="F10" s="935">
        <v>0</v>
      </c>
      <c r="G10" s="935">
        <v>0</v>
      </c>
      <c r="H10" s="935">
        <v>0</v>
      </c>
      <c r="I10" s="935">
        <v>0</v>
      </c>
      <c r="J10" s="935">
        <v>0</v>
      </c>
      <c r="K10" s="935">
        <v>0</v>
      </c>
      <c r="L10" s="935">
        <v>0</v>
      </c>
      <c r="M10" s="935">
        <v>0</v>
      </c>
      <c r="N10" s="935">
        <v>0</v>
      </c>
      <c r="O10" s="935">
        <v>0</v>
      </c>
      <c r="P10" s="935">
        <v>0</v>
      </c>
      <c r="Q10" s="935" t="str">
        <f t="shared" si="0"/>
        <v>Franchise Taxes</v>
      </c>
      <c r="R10" s="939">
        <f t="shared" si="1"/>
        <v>0</v>
      </c>
      <c r="S10" s="38">
        <f>R10</f>
        <v>0</v>
      </c>
      <c r="T10" s="519" t="s">
        <v>275</v>
      </c>
    </row>
    <row r="11" spans="1:20" s="37" customFormat="1" x14ac:dyDescent="0.2">
      <c r="A11" s="3"/>
      <c r="B11" s="3" t="s">
        <v>278</v>
      </c>
      <c r="C11" s="935">
        <v>1497956</v>
      </c>
      <c r="D11" s="935">
        <v>0</v>
      </c>
      <c r="E11" s="935">
        <v>0</v>
      </c>
      <c r="F11" s="935">
        <v>0</v>
      </c>
      <c r="G11" s="935">
        <v>0</v>
      </c>
      <c r="H11" s="935">
        <v>0</v>
      </c>
      <c r="I11" s="935">
        <v>0</v>
      </c>
      <c r="J11" s="935">
        <v>0</v>
      </c>
      <c r="K11" s="935">
        <v>319564</v>
      </c>
      <c r="L11" s="935">
        <v>0</v>
      </c>
      <c r="M11" s="935">
        <v>0</v>
      </c>
      <c r="N11" s="935">
        <v>0</v>
      </c>
      <c r="O11" s="935">
        <v>0</v>
      </c>
      <c r="P11" s="935">
        <v>0</v>
      </c>
      <c r="Q11" s="935" t="str">
        <f t="shared" si="0"/>
        <v>Governmental Services Tax</v>
      </c>
      <c r="R11" s="939">
        <f t="shared" si="1"/>
        <v>1817520</v>
      </c>
      <c r="S11" s="38">
        <f>R11-K11</f>
        <v>1497956</v>
      </c>
      <c r="T11" s="519" t="s">
        <v>279</v>
      </c>
    </row>
    <row r="12" spans="1:20" s="37" customFormat="1" hidden="1" x14ac:dyDescent="0.2">
      <c r="A12" s="3"/>
      <c r="B12" s="3" t="s">
        <v>338</v>
      </c>
      <c r="C12" s="935">
        <v>0</v>
      </c>
      <c r="D12" s="935">
        <v>0</v>
      </c>
      <c r="E12" s="935">
        <v>0</v>
      </c>
      <c r="F12" s="935">
        <v>0</v>
      </c>
      <c r="G12" s="935">
        <v>0</v>
      </c>
      <c r="H12" s="935">
        <v>0</v>
      </c>
      <c r="I12" s="935">
        <v>0</v>
      </c>
      <c r="J12" s="935">
        <v>0</v>
      </c>
      <c r="K12" s="935">
        <v>0</v>
      </c>
      <c r="L12" s="935">
        <v>0</v>
      </c>
      <c r="M12" s="935">
        <v>0</v>
      </c>
      <c r="N12" s="935">
        <v>0</v>
      </c>
      <c r="O12" s="935">
        <v>0</v>
      </c>
      <c r="P12" s="935">
        <v>0</v>
      </c>
      <c r="Q12" s="935" t="str">
        <f t="shared" si="0"/>
        <v>Other Taxes</v>
      </c>
      <c r="R12" s="939">
        <f t="shared" si="1"/>
        <v>0</v>
      </c>
      <c r="T12" s="519"/>
    </row>
    <row r="13" spans="1:20" s="37" customFormat="1" x14ac:dyDescent="0.2">
      <c r="A13" s="3"/>
      <c r="B13" s="3" t="s">
        <v>281</v>
      </c>
      <c r="C13" s="935">
        <v>7500</v>
      </c>
      <c r="D13" s="935">
        <v>0</v>
      </c>
      <c r="E13" s="935">
        <v>0</v>
      </c>
      <c r="F13" s="935">
        <v>0</v>
      </c>
      <c r="G13" s="935">
        <v>0</v>
      </c>
      <c r="H13" s="935">
        <v>0</v>
      </c>
      <c r="I13" s="935">
        <v>0</v>
      </c>
      <c r="J13" s="935">
        <v>0</v>
      </c>
      <c r="K13" s="935">
        <v>0</v>
      </c>
      <c r="L13" s="935">
        <v>0</v>
      </c>
      <c r="M13" s="935">
        <v>0</v>
      </c>
      <c r="N13" s="935">
        <v>0</v>
      </c>
      <c r="O13" s="935">
        <v>0</v>
      </c>
      <c r="P13" s="935">
        <v>0</v>
      </c>
      <c r="Q13" s="935" t="str">
        <f t="shared" si="0"/>
        <v>Boat Registration</v>
      </c>
      <c r="R13" s="939">
        <f t="shared" si="1"/>
        <v>7500</v>
      </c>
      <c r="T13" s="519"/>
    </row>
    <row r="14" spans="1:20" s="37" customFormat="1" hidden="1" x14ac:dyDescent="0.2">
      <c r="A14" s="3"/>
      <c r="B14" s="3" t="s">
        <v>227</v>
      </c>
      <c r="C14" s="935">
        <v>0</v>
      </c>
      <c r="D14" s="935">
        <v>0</v>
      </c>
      <c r="E14" s="935">
        <v>0</v>
      </c>
      <c r="F14" s="935">
        <v>0</v>
      </c>
      <c r="G14" s="935">
        <v>0</v>
      </c>
      <c r="H14" s="935">
        <v>0</v>
      </c>
      <c r="I14" s="935">
        <v>0</v>
      </c>
      <c r="J14" s="935">
        <v>0</v>
      </c>
      <c r="K14" s="935">
        <v>0</v>
      </c>
      <c r="L14" s="935">
        <v>0</v>
      </c>
      <c r="M14" s="935">
        <v>0</v>
      </c>
      <c r="N14" s="935">
        <v>0</v>
      </c>
      <c r="O14" s="935">
        <v>0</v>
      </c>
      <c r="P14" s="935">
        <v>0</v>
      </c>
      <c r="Q14" s="935" t="str">
        <f t="shared" si="0"/>
        <v>Residential Construction Tax</v>
      </c>
      <c r="R14" s="939">
        <f t="shared" si="1"/>
        <v>0</v>
      </c>
      <c r="T14" s="519"/>
    </row>
    <row r="15" spans="1:20" s="37" customFormat="1" x14ac:dyDescent="0.2">
      <c r="A15" s="3"/>
      <c r="B15" s="3" t="s">
        <v>282</v>
      </c>
      <c r="C15" s="935">
        <v>68113</v>
      </c>
      <c r="D15" s="935">
        <v>0</v>
      </c>
      <c r="E15" s="935">
        <v>0</v>
      </c>
      <c r="F15" s="935">
        <v>0</v>
      </c>
      <c r="G15" s="935">
        <v>0</v>
      </c>
      <c r="H15" s="935">
        <v>0</v>
      </c>
      <c r="I15" s="935">
        <v>0</v>
      </c>
      <c r="J15" s="935">
        <v>0</v>
      </c>
      <c r="K15" s="935">
        <v>0</v>
      </c>
      <c r="L15" s="935">
        <v>0</v>
      </c>
      <c r="M15" s="935">
        <v>0</v>
      </c>
      <c r="N15" s="935">
        <v>0</v>
      </c>
      <c r="O15" s="935">
        <v>0</v>
      </c>
      <c r="P15" s="935">
        <v>0</v>
      </c>
      <c r="Q15" s="935" t="str">
        <f t="shared" si="0"/>
        <v>Tuition</v>
      </c>
      <c r="R15" s="939">
        <f t="shared" si="1"/>
        <v>68113</v>
      </c>
      <c r="T15" s="519"/>
    </row>
    <row r="16" spans="1:20" s="37" customFormat="1" hidden="1" x14ac:dyDescent="0.2">
      <c r="A16" s="3"/>
      <c r="B16" s="3" t="s">
        <v>143</v>
      </c>
      <c r="C16" s="935">
        <v>0</v>
      </c>
      <c r="D16" s="935">
        <v>0</v>
      </c>
      <c r="E16" s="935">
        <v>0</v>
      </c>
      <c r="F16" s="935">
        <v>0</v>
      </c>
      <c r="G16" s="935">
        <v>0</v>
      </c>
      <c r="H16" s="935">
        <v>0</v>
      </c>
      <c r="I16" s="935">
        <v>0</v>
      </c>
      <c r="J16" s="935">
        <v>0</v>
      </c>
      <c r="K16" s="935">
        <v>0</v>
      </c>
      <c r="L16" s="935">
        <v>0</v>
      </c>
      <c r="M16" s="935">
        <v>0</v>
      </c>
      <c r="N16" s="935">
        <v>0</v>
      </c>
      <c r="O16" s="935">
        <v>0</v>
      </c>
      <c r="P16" s="935">
        <v>0</v>
      </c>
      <c r="Q16" s="935" t="str">
        <f t="shared" si="0"/>
        <v>Summer School</v>
      </c>
      <c r="R16" s="939">
        <f t="shared" si="1"/>
        <v>0</v>
      </c>
      <c r="T16" s="519"/>
    </row>
    <row r="17" spans="1:20" s="37" customFormat="1" hidden="1" x14ac:dyDescent="0.2">
      <c r="A17" s="3"/>
      <c r="B17" s="3" t="s">
        <v>283</v>
      </c>
      <c r="C17" s="935">
        <v>0</v>
      </c>
      <c r="D17" s="935">
        <v>0</v>
      </c>
      <c r="E17" s="935">
        <v>0</v>
      </c>
      <c r="F17" s="935">
        <v>0</v>
      </c>
      <c r="G17" s="935">
        <v>0</v>
      </c>
      <c r="H17" s="935">
        <v>0</v>
      </c>
      <c r="I17" s="935">
        <v>0</v>
      </c>
      <c r="J17" s="935">
        <v>0</v>
      </c>
      <c r="K17" s="935">
        <v>0</v>
      </c>
      <c r="L17" s="935">
        <v>0</v>
      </c>
      <c r="M17" s="935">
        <v>0</v>
      </c>
      <c r="N17" s="935">
        <v>0</v>
      </c>
      <c r="O17" s="935">
        <v>0</v>
      </c>
      <c r="P17" s="935">
        <v>0</v>
      </c>
      <c r="Q17" s="935" t="str">
        <f t="shared" si="0"/>
        <v>Transportation Fees</v>
      </c>
      <c r="R17" s="939">
        <f t="shared" si="1"/>
        <v>0</v>
      </c>
      <c r="T17" s="519"/>
    </row>
    <row r="18" spans="1:20" s="37" customFormat="1" x14ac:dyDescent="0.2">
      <c r="A18" s="3"/>
      <c r="B18" s="3" t="s">
        <v>634</v>
      </c>
      <c r="C18" s="935">
        <v>21000</v>
      </c>
      <c r="D18" s="935">
        <v>0</v>
      </c>
      <c r="E18" s="935">
        <v>0</v>
      </c>
      <c r="F18" s="935">
        <v>0</v>
      </c>
      <c r="G18" s="935">
        <v>0</v>
      </c>
      <c r="H18" s="935">
        <v>0</v>
      </c>
      <c r="I18" s="935">
        <v>0</v>
      </c>
      <c r="J18" s="935">
        <v>0</v>
      </c>
      <c r="K18" s="935">
        <v>0</v>
      </c>
      <c r="L18" s="935">
        <v>0</v>
      </c>
      <c r="M18" s="935">
        <v>0</v>
      </c>
      <c r="N18" s="935">
        <v>0</v>
      </c>
      <c r="O18" s="935">
        <v>0</v>
      </c>
      <c r="P18" s="935">
        <v>0</v>
      </c>
      <c r="Q18" s="935" t="str">
        <f t="shared" si="0"/>
        <v>Pay to Play</v>
      </c>
      <c r="R18" s="939">
        <f t="shared" si="1"/>
        <v>21000</v>
      </c>
      <c r="T18" s="519"/>
    </row>
    <row r="19" spans="1:20" s="37" customFormat="1" x14ac:dyDescent="0.2">
      <c r="A19" s="3"/>
      <c r="B19" s="3" t="s">
        <v>284</v>
      </c>
      <c r="C19" s="935">
        <v>0</v>
      </c>
      <c r="D19" s="935">
        <v>2750</v>
      </c>
      <c r="E19" s="935">
        <v>0</v>
      </c>
      <c r="F19" s="935">
        <v>0</v>
      </c>
      <c r="G19" s="935">
        <v>0</v>
      </c>
      <c r="H19" s="935">
        <v>0</v>
      </c>
      <c r="I19" s="935">
        <v>0</v>
      </c>
      <c r="J19" s="935">
        <v>151528</v>
      </c>
      <c r="K19" s="935">
        <v>0</v>
      </c>
      <c r="L19" s="935">
        <v>5000</v>
      </c>
      <c r="M19" s="935">
        <v>2400</v>
      </c>
      <c r="N19" s="935">
        <v>0</v>
      </c>
      <c r="O19" s="935">
        <v>0</v>
      </c>
      <c r="P19" s="935">
        <v>0</v>
      </c>
      <c r="Q19" s="935" t="str">
        <f t="shared" si="0"/>
        <v>Earnings on Investments</v>
      </c>
      <c r="R19" s="939">
        <f t="shared" si="1"/>
        <v>161678</v>
      </c>
      <c r="T19" s="519"/>
    </row>
    <row r="20" spans="1:20" s="37" customFormat="1" hidden="1" x14ac:dyDescent="0.2">
      <c r="A20" s="3"/>
      <c r="B20" s="3" t="s">
        <v>552</v>
      </c>
      <c r="C20" s="935">
        <v>0</v>
      </c>
      <c r="D20" s="935">
        <v>0</v>
      </c>
      <c r="E20" s="935">
        <v>0</v>
      </c>
      <c r="F20" s="935">
        <v>0</v>
      </c>
      <c r="G20" s="935">
        <v>0</v>
      </c>
      <c r="H20" s="935">
        <v>0</v>
      </c>
      <c r="I20" s="935">
        <v>0</v>
      </c>
      <c r="J20" s="935">
        <v>0</v>
      </c>
      <c r="K20" s="935">
        <v>0</v>
      </c>
      <c r="L20" s="935">
        <v>0</v>
      </c>
      <c r="M20" s="935">
        <v>0</v>
      </c>
      <c r="N20" s="935">
        <v>0</v>
      </c>
      <c r="O20" s="935">
        <v>0</v>
      </c>
      <c r="P20" s="935">
        <v>0</v>
      </c>
      <c r="Q20" s="935" t="str">
        <f t="shared" si="0"/>
        <v>Direct District Activities Revenue</v>
      </c>
      <c r="R20" s="939">
        <f t="shared" si="1"/>
        <v>0</v>
      </c>
      <c r="T20" s="519"/>
    </row>
    <row r="21" spans="1:20" s="37" customFormat="1" x14ac:dyDescent="0.2">
      <c r="A21" s="3"/>
      <c r="B21" s="3" t="s">
        <v>286</v>
      </c>
      <c r="C21" s="935">
        <v>0</v>
      </c>
      <c r="D21" s="935">
        <v>0</v>
      </c>
      <c r="E21" s="935">
        <v>0</v>
      </c>
      <c r="F21" s="935">
        <v>0</v>
      </c>
      <c r="G21" s="935">
        <v>0</v>
      </c>
      <c r="H21" s="935">
        <v>0</v>
      </c>
      <c r="I21" s="935">
        <f>287517-10040</f>
        <v>277477</v>
      </c>
      <c r="J21" s="935">
        <v>0</v>
      </c>
      <c r="K21" s="935">
        <v>0</v>
      </c>
      <c r="L21" s="935">
        <v>0</v>
      </c>
      <c r="M21" s="935">
        <v>0</v>
      </c>
      <c r="N21" s="935">
        <v>0</v>
      </c>
      <c r="O21" s="935">
        <v>0</v>
      </c>
      <c r="P21" s="935">
        <v>0</v>
      </c>
      <c r="Q21" s="935" t="str">
        <f t="shared" si="0"/>
        <v>Daily Sales - Food Services</v>
      </c>
      <c r="R21" s="939">
        <f t="shared" si="1"/>
        <v>277477</v>
      </c>
      <c r="T21" s="519"/>
    </row>
    <row r="22" spans="1:20" s="37" customFormat="1" x14ac:dyDescent="0.2">
      <c r="A22" s="3">
        <v>1900</v>
      </c>
      <c r="B22" s="3" t="s">
        <v>280</v>
      </c>
      <c r="C22" s="935">
        <v>0</v>
      </c>
      <c r="D22" s="935">
        <v>0</v>
      </c>
      <c r="E22" s="935">
        <v>0</v>
      </c>
      <c r="F22" s="935">
        <v>0</v>
      </c>
      <c r="G22" s="935">
        <v>0</v>
      </c>
      <c r="H22" s="935">
        <v>49254</v>
      </c>
      <c r="I22" s="935">
        <v>0</v>
      </c>
      <c r="J22" s="935">
        <v>0</v>
      </c>
      <c r="K22" s="935">
        <v>0</v>
      </c>
      <c r="L22" s="935">
        <v>0</v>
      </c>
      <c r="M22" s="935">
        <v>0</v>
      </c>
      <c r="N22" s="935">
        <v>369257</v>
      </c>
      <c r="O22" s="935">
        <v>0</v>
      </c>
      <c r="P22" s="935">
        <v>0</v>
      </c>
      <c r="Q22" s="935" t="str">
        <f t="shared" si="0"/>
        <v>Other Revenues</v>
      </c>
      <c r="R22" s="939">
        <f t="shared" si="1"/>
        <v>418511</v>
      </c>
      <c r="T22" s="519"/>
    </row>
    <row r="23" spans="1:20" s="37" customFormat="1" hidden="1" x14ac:dyDescent="0.2">
      <c r="A23" s="3"/>
      <c r="B23" s="3" t="s">
        <v>287</v>
      </c>
      <c r="C23" s="935">
        <v>0</v>
      </c>
      <c r="D23" s="935">
        <v>0</v>
      </c>
      <c r="E23" s="935">
        <v>0</v>
      </c>
      <c r="F23" s="935">
        <v>0</v>
      </c>
      <c r="G23" s="935">
        <v>0</v>
      </c>
      <c r="H23" s="935">
        <v>0</v>
      </c>
      <c r="I23" s="935">
        <v>0</v>
      </c>
      <c r="J23" s="935">
        <v>0</v>
      </c>
      <c r="K23" s="935">
        <v>0</v>
      </c>
      <c r="L23" s="935">
        <v>0</v>
      </c>
      <c r="M23" s="935">
        <v>0</v>
      </c>
      <c r="N23" s="935">
        <v>0</v>
      </c>
      <c r="O23" s="935">
        <v>0</v>
      </c>
      <c r="P23" s="935">
        <v>0</v>
      </c>
      <c r="Q23" s="935" t="str">
        <f t="shared" si="0"/>
        <v>Rentals</v>
      </c>
      <c r="R23" s="939">
        <f t="shared" si="1"/>
        <v>0</v>
      </c>
      <c r="T23" s="519"/>
    </row>
    <row r="24" spans="1:20" s="37" customFormat="1" x14ac:dyDescent="0.2">
      <c r="A24" s="3"/>
      <c r="B24" s="3" t="s">
        <v>288</v>
      </c>
      <c r="C24" s="935">
        <v>5000</v>
      </c>
      <c r="D24" s="935">
        <v>0</v>
      </c>
      <c r="E24" s="935">
        <v>0</v>
      </c>
      <c r="F24" s="935">
        <v>0</v>
      </c>
      <c r="G24" s="935">
        <v>0</v>
      </c>
      <c r="H24" s="935">
        <v>0</v>
      </c>
      <c r="I24" s="935">
        <v>0</v>
      </c>
      <c r="J24" s="935">
        <v>0</v>
      </c>
      <c r="K24" s="935">
        <v>0</v>
      </c>
      <c r="L24" s="935">
        <v>0</v>
      </c>
      <c r="M24" s="935">
        <v>0</v>
      </c>
      <c r="N24" s="935">
        <v>0</v>
      </c>
      <c r="O24" s="935">
        <v>0</v>
      </c>
      <c r="P24" s="935">
        <v>0</v>
      </c>
      <c r="Q24" s="935" t="str">
        <f t="shared" si="0"/>
        <v>Donations</v>
      </c>
      <c r="R24" s="939">
        <f t="shared" si="1"/>
        <v>5000</v>
      </c>
      <c r="T24" s="519"/>
    </row>
    <row r="25" spans="1:20" s="37" customFormat="1" hidden="1" x14ac:dyDescent="0.2">
      <c r="A25" s="3"/>
      <c r="B25" s="3" t="s">
        <v>598</v>
      </c>
      <c r="C25" s="935">
        <v>0</v>
      </c>
      <c r="D25" s="935">
        <v>0</v>
      </c>
      <c r="E25" s="935">
        <v>0</v>
      </c>
      <c r="F25" s="935">
        <v>0</v>
      </c>
      <c r="G25" s="935">
        <v>0</v>
      </c>
      <c r="H25" s="935">
        <v>0</v>
      </c>
      <c r="I25" s="935">
        <v>0</v>
      </c>
      <c r="J25" s="935">
        <v>0</v>
      </c>
      <c r="K25" s="935">
        <v>0</v>
      </c>
      <c r="L25" s="935">
        <v>0</v>
      </c>
      <c r="M25" s="935">
        <v>0</v>
      </c>
      <c r="N25" s="935">
        <v>0</v>
      </c>
      <c r="O25" s="935">
        <v>0</v>
      </c>
      <c r="P25" s="935">
        <v>0</v>
      </c>
      <c r="Q25" s="935" t="str">
        <f t="shared" si="0"/>
        <v>Services Provided Other Govts</v>
      </c>
      <c r="R25" s="939">
        <f t="shared" si="1"/>
        <v>0</v>
      </c>
      <c r="T25" s="519"/>
    </row>
    <row r="26" spans="1:20" s="37" customFormat="1" x14ac:dyDescent="0.2">
      <c r="A26" s="3"/>
      <c r="B26" s="3" t="s">
        <v>289</v>
      </c>
      <c r="C26" s="935">
        <v>60000</v>
      </c>
      <c r="D26" s="935">
        <v>0</v>
      </c>
      <c r="E26" s="935">
        <v>0</v>
      </c>
      <c r="F26" s="935">
        <v>0</v>
      </c>
      <c r="G26" s="935">
        <v>0</v>
      </c>
      <c r="H26" s="935">
        <v>0</v>
      </c>
      <c r="I26" s="935">
        <v>10040</v>
      </c>
      <c r="J26" s="935">
        <v>0</v>
      </c>
      <c r="K26" s="935">
        <v>0</v>
      </c>
      <c r="L26" s="935">
        <v>0</v>
      </c>
      <c r="M26" s="935">
        <v>0</v>
      </c>
      <c r="N26" s="935">
        <v>0</v>
      </c>
      <c r="O26" s="935">
        <v>0</v>
      </c>
      <c r="P26" s="935">
        <v>0</v>
      </c>
      <c r="Q26" s="935" t="str">
        <f t="shared" si="0"/>
        <v>Miscellaneous</v>
      </c>
      <c r="R26" s="939">
        <f t="shared" si="1"/>
        <v>70040</v>
      </c>
      <c r="T26" s="519"/>
    </row>
    <row r="27" spans="1:20" s="37" customFormat="1" hidden="1" x14ac:dyDescent="0.2">
      <c r="A27" s="3"/>
      <c r="B27" s="3" t="s">
        <v>290</v>
      </c>
      <c r="C27" s="935">
        <v>0</v>
      </c>
      <c r="D27" s="935">
        <v>0</v>
      </c>
      <c r="E27" s="935">
        <v>0</v>
      </c>
      <c r="F27" s="935">
        <v>0</v>
      </c>
      <c r="G27" s="935">
        <v>0</v>
      </c>
      <c r="H27" s="935">
        <v>0</v>
      </c>
      <c r="I27" s="935">
        <v>0</v>
      </c>
      <c r="J27" s="935">
        <v>0</v>
      </c>
      <c r="K27" s="935">
        <v>0</v>
      </c>
      <c r="L27" s="935">
        <v>0</v>
      </c>
      <c r="M27" s="935">
        <v>0</v>
      </c>
      <c r="N27" s="935">
        <v>0</v>
      </c>
      <c r="O27" s="935">
        <v>0</v>
      </c>
      <c r="P27" s="935">
        <v>0</v>
      </c>
      <c r="Q27" s="935" t="str">
        <f t="shared" si="0"/>
        <v>Indirect Costs</v>
      </c>
      <c r="R27" s="939">
        <f t="shared" si="1"/>
        <v>0</v>
      </c>
      <c r="T27" s="519"/>
    </row>
    <row r="28" spans="1:20" hidden="1" x14ac:dyDescent="0.2">
      <c r="C28" s="935"/>
      <c r="D28" s="935"/>
      <c r="E28" s="935"/>
      <c r="F28" s="935"/>
      <c r="G28" s="935"/>
      <c r="H28" s="935"/>
      <c r="I28" s="935"/>
      <c r="J28" s="935"/>
      <c r="K28" s="935"/>
      <c r="L28" s="935"/>
      <c r="M28" s="935"/>
      <c r="N28" s="935"/>
      <c r="O28" s="935"/>
      <c r="P28" s="935"/>
      <c r="Q28" s="905"/>
      <c r="R28" s="905"/>
    </row>
    <row r="29" spans="1:20" s="2" customFormat="1" x14ac:dyDescent="0.2">
      <c r="B29" s="39" t="s">
        <v>124</v>
      </c>
      <c r="C29" s="931">
        <f>SUM(C4:C28)</f>
        <v>22494604</v>
      </c>
      <c r="D29" s="931">
        <f t="shared" ref="D29:P29" si="2">SUM(D4:D28)</f>
        <v>1666222</v>
      </c>
      <c r="E29" s="931">
        <f t="shared" si="2"/>
        <v>0</v>
      </c>
      <c r="F29" s="931">
        <f t="shared" si="2"/>
        <v>0</v>
      </c>
      <c r="G29" s="931">
        <f t="shared" si="2"/>
        <v>0</v>
      </c>
      <c r="H29" s="931">
        <f t="shared" si="2"/>
        <v>49254</v>
      </c>
      <c r="I29" s="931">
        <f t="shared" si="2"/>
        <v>287517</v>
      </c>
      <c r="J29" s="931">
        <f t="shared" si="2"/>
        <v>151528</v>
      </c>
      <c r="K29" s="931">
        <f t="shared" si="2"/>
        <v>319564</v>
      </c>
      <c r="L29" s="931">
        <f t="shared" si="2"/>
        <v>5000</v>
      </c>
      <c r="M29" s="931">
        <f t="shared" si="2"/>
        <v>2400</v>
      </c>
      <c r="N29" s="931">
        <f t="shared" si="2"/>
        <v>369257</v>
      </c>
      <c r="O29" s="931">
        <f t="shared" si="2"/>
        <v>0</v>
      </c>
      <c r="P29" s="931">
        <f t="shared" si="2"/>
        <v>0</v>
      </c>
      <c r="Q29" s="930">
        <f>SUM(C29:P29)</f>
        <v>25345346</v>
      </c>
      <c r="R29" s="903"/>
      <c r="S29" s="20">
        <f>SUM(S5:S28)</f>
        <v>22332991</v>
      </c>
      <c r="T29" s="53"/>
    </row>
    <row r="30" spans="1:20" x14ac:dyDescent="0.2">
      <c r="B30" s="550"/>
      <c r="C30" s="935"/>
      <c r="D30" s="935"/>
      <c r="E30" s="935"/>
      <c r="F30" s="935"/>
      <c r="G30" s="935"/>
      <c r="H30" s="935"/>
      <c r="I30" s="935"/>
      <c r="J30" s="935"/>
      <c r="K30" s="935"/>
      <c r="L30" s="935"/>
      <c r="M30" s="935"/>
      <c r="N30" s="935"/>
      <c r="O30" s="935"/>
      <c r="P30" s="935"/>
      <c r="Q30" s="939"/>
      <c r="R30" s="905"/>
    </row>
    <row r="31" spans="1:20" x14ac:dyDescent="0.2">
      <c r="B31" s="3" t="s">
        <v>291</v>
      </c>
      <c r="C31" s="937">
        <v>10312864</v>
      </c>
      <c r="D31" s="937">
        <v>0</v>
      </c>
      <c r="E31" s="937">
        <v>0</v>
      </c>
      <c r="F31" s="937">
        <v>0</v>
      </c>
      <c r="G31" s="937">
        <v>0</v>
      </c>
      <c r="H31" s="937">
        <v>0</v>
      </c>
      <c r="I31" s="937">
        <v>0</v>
      </c>
      <c r="J31" s="937">
        <v>0</v>
      </c>
      <c r="K31" s="937">
        <v>0</v>
      </c>
      <c r="L31" s="937">
        <v>0</v>
      </c>
      <c r="M31" s="937">
        <v>0</v>
      </c>
      <c r="N31" s="937">
        <v>0</v>
      </c>
      <c r="O31" s="937">
        <v>0</v>
      </c>
      <c r="P31" s="937">
        <v>0</v>
      </c>
      <c r="Q31" s="938" t="str">
        <f t="shared" ref="Q31:Q40" si="3">B31</f>
        <v>Distributive School Fund (DSA)</v>
      </c>
      <c r="R31" s="938">
        <f t="shared" ref="R31:R40" si="4">SUM(C31:P31)</f>
        <v>10312864</v>
      </c>
    </row>
    <row r="32" spans="1:20" hidden="1" x14ac:dyDescent="0.2">
      <c r="B32" s="3" t="s">
        <v>292</v>
      </c>
      <c r="C32" s="937">
        <v>0</v>
      </c>
      <c r="D32" s="937">
        <v>0</v>
      </c>
      <c r="E32" s="937">
        <v>0</v>
      </c>
      <c r="F32" s="937">
        <v>0</v>
      </c>
      <c r="G32" s="937">
        <v>0</v>
      </c>
      <c r="H32" s="937">
        <v>0</v>
      </c>
      <c r="I32" s="937">
        <v>0</v>
      </c>
      <c r="J32" s="937">
        <v>0</v>
      </c>
      <c r="K32" s="937">
        <v>0</v>
      </c>
      <c r="L32" s="937">
        <v>0</v>
      </c>
      <c r="M32" s="937">
        <v>0</v>
      </c>
      <c r="N32" s="937">
        <v>0</v>
      </c>
      <c r="O32" s="937">
        <v>0</v>
      </c>
      <c r="P32" s="937">
        <v>0</v>
      </c>
      <c r="Q32" s="938" t="str">
        <f t="shared" si="3"/>
        <v>DSA Charter Reduction-Outside Revs</v>
      </c>
      <c r="R32" s="938">
        <f t="shared" si="4"/>
        <v>0</v>
      </c>
    </row>
    <row r="33" spans="1:21" x14ac:dyDescent="0.2">
      <c r="B33" s="3" t="s">
        <v>293</v>
      </c>
      <c r="C33" s="937">
        <v>0</v>
      </c>
      <c r="D33" s="937">
        <v>0</v>
      </c>
      <c r="E33" s="937">
        <v>1941039</v>
      </c>
      <c r="F33" s="937">
        <v>0</v>
      </c>
      <c r="G33" s="937">
        <v>0</v>
      </c>
      <c r="H33" s="937">
        <v>0</v>
      </c>
      <c r="I33" s="937">
        <v>0</v>
      </c>
      <c r="J33" s="937">
        <v>0</v>
      </c>
      <c r="K33" s="937">
        <v>0</v>
      </c>
      <c r="L33" s="937">
        <v>0</v>
      </c>
      <c r="M33" s="937">
        <v>0</v>
      </c>
      <c r="N33" s="937">
        <v>0</v>
      </c>
      <c r="O33" s="937">
        <v>0</v>
      </c>
      <c r="P33" s="937">
        <v>0</v>
      </c>
      <c r="Q33" s="938" t="str">
        <f t="shared" si="3"/>
        <v>Special Education - DSA Funding</v>
      </c>
      <c r="R33" s="938">
        <f t="shared" si="4"/>
        <v>1941039</v>
      </c>
    </row>
    <row r="34" spans="1:21" hidden="1" x14ac:dyDescent="0.2">
      <c r="B34" s="3" t="s">
        <v>475</v>
      </c>
      <c r="C34" s="937">
        <v>0</v>
      </c>
      <c r="D34" s="937">
        <v>0</v>
      </c>
      <c r="E34" s="937">
        <v>0</v>
      </c>
      <c r="F34" s="937">
        <v>0</v>
      </c>
      <c r="G34" s="937">
        <v>0</v>
      </c>
      <c r="H34" s="937">
        <v>0</v>
      </c>
      <c r="I34" s="937">
        <v>0</v>
      </c>
      <c r="J34" s="937">
        <v>0</v>
      </c>
      <c r="K34" s="937">
        <v>0</v>
      </c>
      <c r="L34" s="937">
        <v>0</v>
      </c>
      <c r="M34" s="937">
        <v>0</v>
      </c>
      <c r="N34" s="937">
        <v>0</v>
      </c>
      <c r="O34" s="937">
        <v>0</v>
      </c>
      <c r="P34" s="937">
        <v>0</v>
      </c>
      <c r="Q34" s="938" t="str">
        <f t="shared" si="3"/>
        <v>Counseling - DSA Funding</v>
      </c>
      <c r="R34" s="938">
        <f t="shared" si="4"/>
        <v>0</v>
      </c>
    </row>
    <row r="35" spans="1:21" x14ac:dyDescent="0.2">
      <c r="B35" s="3" t="s">
        <v>635</v>
      </c>
      <c r="C35" s="937">
        <v>0</v>
      </c>
      <c r="D35" s="937">
        <v>0</v>
      </c>
      <c r="E35" s="937">
        <v>0</v>
      </c>
      <c r="F35" s="937">
        <v>0</v>
      </c>
      <c r="G35" s="937">
        <v>0</v>
      </c>
      <c r="H35" s="937">
        <v>0</v>
      </c>
      <c r="I35" s="937">
        <v>3213</v>
      </c>
      <c r="J35" s="937">
        <v>0</v>
      </c>
      <c r="K35" s="937">
        <v>0</v>
      </c>
      <c r="L35" s="937">
        <v>0</v>
      </c>
      <c r="M35" s="937">
        <v>0</v>
      </c>
      <c r="N35" s="937">
        <v>0</v>
      </c>
      <c r="O35" s="937">
        <v>0</v>
      </c>
      <c r="P35" s="937">
        <v>0</v>
      </c>
      <c r="Q35" s="938" t="str">
        <f t="shared" si="3"/>
        <v>State Revenue School Lunch</v>
      </c>
      <c r="R35" s="938">
        <f t="shared" si="4"/>
        <v>3213</v>
      </c>
    </row>
    <row r="36" spans="1:21" x14ac:dyDescent="0.2">
      <c r="B36" s="3" t="s">
        <v>295</v>
      </c>
      <c r="C36" s="937">
        <v>0</v>
      </c>
      <c r="D36" s="937">
        <v>0</v>
      </c>
      <c r="E36" s="937">
        <v>0</v>
      </c>
      <c r="F36" s="937">
        <v>0</v>
      </c>
      <c r="G36" s="937">
        <v>5698316</v>
      </c>
      <c r="H36" s="937">
        <v>0</v>
      </c>
      <c r="I36" s="937">
        <v>0</v>
      </c>
      <c r="J36" s="937">
        <v>0</v>
      </c>
      <c r="K36" s="937">
        <v>0</v>
      </c>
      <c r="L36" s="937">
        <v>0</v>
      </c>
      <c r="M36" s="937">
        <v>0</v>
      </c>
      <c r="N36" s="937">
        <v>0</v>
      </c>
      <c r="O36" s="937">
        <v>0</v>
      </c>
      <c r="P36" s="937">
        <v>0</v>
      </c>
      <c r="Q36" s="938" t="str">
        <f t="shared" si="3"/>
        <v>Restricted Funding/Grants-in-aid rev</v>
      </c>
      <c r="R36" s="938">
        <f t="shared" si="4"/>
        <v>5698316</v>
      </c>
    </row>
    <row r="37" spans="1:21" hidden="1" x14ac:dyDescent="0.2">
      <c r="B37" s="3" t="s">
        <v>381</v>
      </c>
      <c r="C37" s="937">
        <v>0</v>
      </c>
      <c r="D37" s="937">
        <v>0</v>
      </c>
      <c r="E37" s="937">
        <v>0</v>
      </c>
      <c r="F37" s="937">
        <v>0</v>
      </c>
      <c r="G37" s="937">
        <v>0</v>
      </c>
      <c r="H37" s="937">
        <v>0</v>
      </c>
      <c r="I37" s="937">
        <v>0</v>
      </c>
      <c r="J37" s="937">
        <v>0</v>
      </c>
      <c r="K37" s="937">
        <v>0</v>
      </c>
      <c r="L37" s="937">
        <v>0</v>
      </c>
      <c r="M37" s="937">
        <v>0</v>
      </c>
      <c r="N37" s="937">
        <v>0</v>
      </c>
      <c r="O37" s="937">
        <v>0</v>
      </c>
      <c r="P37" s="937">
        <v>0</v>
      </c>
      <c r="Q37" s="938" t="str">
        <f t="shared" si="3"/>
        <v>Adult High School Diploma</v>
      </c>
      <c r="R37" s="938">
        <f t="shared" si="4"/>
        <v>0</v>
      </c>
    </row>
    <row r="38" spans="1:21" hidden="1" x14ac:dyDescent="0.2">
      <c r="B38" s="3" t="s">
        <v>553</v>
      </c>
      <c r="C38" s="937">
        <v>0</v>
      </c>
      <c r="D38" s="937">
        <v>0</v>
      </c>
      <c r="E38" s="937">
        <v>0</v>
      </c>
      <c r="F38" s="937">
        <v>0</v>
      </c>
      <c r="G38" s="937">
        <v>0</v>
      </c>
      <c r="H38" s="937">
        <v>0</v>
      </c>
      <c r="I38" s="937">
        <v>0</v>
      </c>
      <c r="J38" s="937">
        <v>0</v>
      </c>
      <c r="K38" s="937">
        <v>0</v>
      </c>
      <c r="L38" s="937">
        <v>0</v>
      </c>
      <c r="M38" s="937">
        <v>0</v>
      </c>
      <c r="N38" s="937">
        <v>0</v>
      </c>
      <c r="O38" s="937">
        <v>0</v>
      </c>
      <c r="P38" s="937">
        <v>0</v>
      </c>
      <c r="Q38" s="938" t="str">
        <f t="shared" si="3"/>
        <v>SB 178 NV Education Fund Plan</v>
      </c>
      <c r="R38" s="938">
        <f t="shared" si="4"/>
        <v>0</v>
      </c>
    </row>
    <row r="39" spans="1:21" hidden="1" x14ac:dyDescent="0.2">
      <c r="B39" s="3" t="s">
        <v>191</v>
      </c>
      <c r="C39" s="937">
        <v>0</v>
      </c>
      <c r="D39" s="937">
        <v>0</v>
      </c>
      <c r="E39" s="937">
        <v>0</v>
      </c>
      <c r="F39" s="937">
        <v>0</v>
      </c>
      <c r="G39" s="937">
        <v>0</v>
      </c>
      <c r="H39" s="937">
        <v>0</v>
      </c>
      <c r="I39" s="937">
        <v>0</v>
      </c>
      <c r="J39" s="937">
        <v>0</v>
      </c>
      <c r="K39" s="937">
        <v>0</v>
      </c>
      <c r="L39" s="937">
        <v>0</v>
      </c>
      <c r="M39" s="937">
        <v>0</v>
      </c>
      <c r="N39" s="937">
        <v>0</v>
      </c>
      <c r="O39" s="937">
        <v>0</v>
      </c>
      <c r="P39" s="937">
        <v>0</v>
      </c>
      <c r="Q39" s="938" t="str">
        <f t="shared" si="3"/>
        <v>Class Size Reduction</v>
      </c>
      <c r="R39" s="938">
        <f t="shared" si="4"/>
        <v>0</v>
      </c>
    </row>
    <row r="40" spans="1:21" hidden="1" x14ac:dyDescent="0.2">
      <c r="B40" s="3" t="s">
        <v>386</v>
      </c>
      <c r="C40" s="937">
        <v>0</v>
      </c>
      <c r="D40" s="937">
        <v>0</v>
      </c>
      <c r="E40" s="937">
        <v>0</v>
      </c>
      <c r="F40" s="937">
        <v>0</v>
      </c>
      <c r="G40" s="937">
        <v>0</v>
      </c>
      <c r="H40" s="937">
        <v>0</v>
      </c>
      <c r="I40" s="937">
        <v>0</v>
      </c>
      <c r="J40" s="937">
        <v>0</v>
      </c>
      <c r="K40" s="937">
        <v>0</v>
      </c>
      <c r="L40" s="937">
        <v>0</v>
      </c>
      <c r="M40" s="937">
        <v>0</v>
      </c>
      <c r="N40" s="937">
        <v>0</v>
      </c>
      <c r="O40" s="937">
        <v>0</v>
      </c>
      <c r="P40" s="937">
        <v>0</v>
      </c>
      <c r="Q40" s="938" t="str">
        <f t="shared" si="3"/>
        <v>For/on behalf of School District</v>
      </c>
      <c r="R40" s="938">
        <f t="shared" si="4"/>
        <v>0</v>
      </c>
    </row>
    <row r="41" spans="1:21" hidden="1" x14ac:dyDescent="0.2"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43"/>
      <c r="T41" s="527"/>
      <c r="U41" s="44"/>
    </row>
    <row r="42" spans="1:21" s="2" customFormat="1" x14ac:dyDescent="0.2">
      <c r="B42" s="39" t="s">
        <v>125</v>
      </c>
      <c r="C42" s="931">
        <f>SUM(C30:C41)</f>
        <v>10312864</v>
      </c>
      <c r="D42" s="931">
        <f t="shared" ref="D42:P42" si="5">SUM(D30:D41)</f>
        <v>0</v>
      </c>
      <c r="E42" s="931">
        <f t="shared" si="5"/>
        <v>1941039</v>
      </c>
      <c r="F42" s="931">
        <f t="shared" si="5"/>
        <v>0</v>
      </c>
      <c r="G42" s="931">
        <f t="shared" si="5"/>
        <v>5698316</v>
      </c>
      <c r="H42" s="931">
        <f t="shared" si="5"/>
        <v>0</v>
      </c>
      <c r="I42" s="931">
        <f t="shared" si="5"/>
        <v>3213</v>
      </c>
      <c r="J42" s="931">
        <f t="shared" si="5"/>
        <v>0</v>
      </c>
      <c r="K42" s="931">
        <f t="shared" si="5"/>
        <v>0</v>
      </c>
      <c r="L42" s="931">
        <f t="shared" si="5"/>
        <v>0</v>
      </c>
      <c r="M42" s="931">
        <f t="shared" si="5"/>
        <v>0</v>
      </c>
      <c r="N42" s="931">
        <f t="shared" si="5"/>
        <v>0</v>
      </c>
      <c r="O42" s="931">
        <f t="shared" si="5"/>
        <v>0</v>
      </c>
      <c r="P42" s="931">
        <f t="shared" si="5"/>
        <v>0</v>
      </c>
      <c r="Q42" s="930">
        <f>SUM(C42:P42)</f>
        <v>17955432</v>
      </c>
      <c r="R42" s="903"/>
      <c r="T42" s="53"/>
    </row>
    <row r="43" spans="1:21" x14ac:dyDescent="0.2">
      <c r="B43" s="550"/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9"/>
      <c r="R43" s="905"/>
    </row>
    <row r="44" spans="1:21" s="37" customFormat="1" x14ac:dyDescent="0.2">
      <c r="A44" s="2"/>
      <c r="B44" s="3" t="s">
        <v>267</v>
      </c>
      <c r="C44" s="937">
        <v>0</v>
      </c>
      <c r="D44" s="937">
        <v>0</v>
      </c>
      <c r="E44" s="937">
        <v>75000</v>
      </c>
      <c r="F44" s="937">
        <v>0</v>
      </c>
      <c r="G44" s="937">
        <v>0</v>
      </c>
      <c r="H44" s="937">
        <v>0</v>
      </c>
      <c r="I44" s="937">
        <v>0</v>
      </c>
      <c r="J44" s="937">
        <v>0</v>
      </c>
      <c r="K44" s="937">
        <v>0</v>
      </c>
      <c r="L44" s="937">
        <v>0</v>
      </c>
      <c r="M44" s="937">
        <v>0</v>
      </c>
      <c r="N44" s="937">
        <v>0</v>
      </c>
      <c r="O44" s="937">
        <v>0</v>
      </c>
      <c r="P44" s="937">
        <v>0</v>
      </c>
      <c r="Q44" s="938" t="str">
        <f t="shared" ref="Q44:Q51" si="6">B44</f>
        <v xml:space="preserve">Medicaid </v>
      </c>
      <c r="R44" s="938">
        <f t="shared" ref="R44:R51" si="7">SUM(C44:P44)</f>
        <v>75000</v>
      </c>
      <c r="T44" s="519"/>
    </row>
    <row r="45" spans="1:21" s="37" customFormat="1" hidden="1" x14ac:dyDescent="0.2">
      <c r="A45" s="2"/>
      <c r="B45" s="3" t="s">
        <v>390</v>
      </c>
      <c r="C45" s="937">
        <v>0</v>
      </c>
      <c r="D45" s="937">
        <v>0</v>
      </c>
      <c r="E45" s="937">
        <v>0</v>
      </c>
      <c r="F45" s="937">
        <v>0</v>
      </c>
      <c r="G45" s="937">
        <v>0</v>
      </c>
      <c r="H45" s="937">
        <v>0</v>
      </c>
      <c r="I45" s="937">
        <v>0</v>
      </c>
      <c r="J45" s="937">
        <v>0</v>
      </c>
      <c r="K45" s="937">
        <v>0</v>
      </c>
      <c r="L45" s="937">
        <v>0</v>
      </c>
      <c r="M45" s="937">
        <v>0</v>
      </c>
      <c r="N45" s="937">
        <v>0</v>
      </c>
      <c r="O45" s="937">
        <v>0</v>
      </c>
      <c r="P45" s="937">
        <v>0</v>
      </c>
      <c r="Q45" s="938" t="str">
        <f t="shared" si="6"/>
        <v>Unrestricted - Direct Fed Gov't</v>
      </c>
      <c r="R45" s="938">
        <f t="shared" si="7"/>
        <v>0</v>
      </c>
      <c r="T45" s="519"/>
    </row>
    <row r="46" spans="1:21" s="37" customFormat="1" hidden="1" x14ac:dyDescent="0.2">
      <c r="A46" s="2"/>
      <c r="B46" s="3" t="s">
        <v>599</v>
      </c>
      <c r="C46" s="937">
        <v>0</v>
      </c>
      <c r="D46" s="937">
        <v>0</v>
      </c>
      <c r="E46" s="937">
        <v>0</v>
      </c>
      <c r="F46" s="937">
        <v>0</v>
      </c>
      <c r="G46" s="937">
        <v>0</v>
      </c>
      <c r="H46" s="937">
        <v>0</v>
      </c>
      <c r="I46" s="937">
        <v>0</v>
      </c>
      <c r="J46" s="937">
        <v>0</v>
      </c>
      <c r="K46" s="937">
        <v>0</v>
      </c>
      <c r="L46" s="937">
        <v>0</v>
      </c>
      <c r="M46" s="937">
        <v>0</v>
      </c>
      <c r="N46" s="937">
        <v>0</v>
      </c>
      <c r="O46" s="937">
        <v>0</v>
      </c>
      <c r="P46" s="937">
        <v>0</v>
      </c>
      <c r="Q46" s="938" t="str">
        <f t="shared" si="6"/>
        <v>Restricted - Direct Fed Gov't</v>
      </c>
      <c r="R46" s="938">
        <f t="shared" si="7"/>
        <v>0</v>
      </c>
      <c r="T46" s="519"/>
    </row>
    <row r="47" spans="1:21" s="37" customFormat="1" x14ac:dyDescent="0.2">
      <c r="A47" s="2"/>
      <c r="B47" s="3" t="s">
        <v>299</v>
      </c>
      <c r="C47" s="937">
        <v>0</v>
      </c>
      <c r="D47" s="937">
        <v>0</v>
      </c>
      <c r="E47" s="937">
        <v>0</v>
      </c>
      <c r="F47" s="937">
        <f>678127+19781</f>
        <v>697908</v>
      </c>
      <c r="G47" s="937">
        <v>0</v>
      </c>
      <c r="H47" s="937">
        <v>0</v>
      </c>
      <c r="I47" s="937">
        <v>0</v>
      </c>
      <c r="J47" s="937">
        <v>0</v>
      </c>
      <c r="K47" s="937">
        <v>0</v>
      </c>
      <c r="L47" s="937">
        <v>0</v>
      </c>
      <c r="M47" s="937">
        <v>0</v>
      </c>
      <c r="N47" s="937">
        <v>0</v>
      </c>
      <c r="O47" s="937">
        <v>0</v>
      </c>
      <c r="P47" s="937">
        <v>0</v>
      </c>
      <c r="Q47" s="938" t="str">
        <f t="shared" si="6"/>
        <v>Restricted - Direct</v>
      </c>
      <c r="R47" s="938">
        <f t="shared" si="7"/>
        <v>697908</v>
      </c>
      <c r="T47" s="519"/>
    </row>
    <row r="48" spans="1:21" s="37" customFormat="1" x14ac:dyDescent="0.2">
      <c r="A48" s="2"/>
      <c r="B48" s="3" t="s">
        <v>298</v>
      </c>
      <c r="C48" s="937">
        <v>0</v>
      </c>
      <c r="D48" s="937">
        <v>0</v>
      </c>
      <c r="E48" s="937">
        <v>0</v>
      </c>
      <c r="F48" s="937">
        <f>198280+20236+39776+32459+411553+681060+73500+47289+12000+17047+245000+222500+2464+10801+100538+31426+555072+112500+77270+5500</f>
        <v>2896271</v>
      </c>
      <c r="G48" s="937">
        <v>0</v>
      </c>
      <c r="H48" s="937">
        <v>0</v>
      </c>
      <c r="I48" s="937">
        <v>0</v>
      </c>
      <c r="J48" s="937">
        <v>0</v>
      </c>
      <c r="K48" s="937">
        <v>0</v>
      </c>
      <c r="L48" s="937">
        <v>0</v>
      </c>
      <c r="M48" s="937">
        <v>0</v>
      </c>
      <c r="N48" s="937">
        <v>0</v>
      </c>
      <c r="O48" s="937">
        <v>0</v>
      </c>
      <c r="P48" s="937">
        <v>0</v>
      </c>
      <c r="Q48" s="938" t="str">
        <f t="shared" si="6"/>
        <v>Restricted - State Agency</v>
      </c>
      <c r="R48" s="938">
        <f t="shared" si="7"/>
        <v>2896271</v>
      </c>
      <c r="T48" s="519"/>
    </row>
    <row r="49" spans="1:20" s="37" customFormat="1" x14ac:dyDescent="0.2">
      <c r="A49" s="2"/>
      <c r="B49" s="3" t="s">
        <v>476</v>
      </c>
      <c r="C49" s="937">
        <v>0</v>
      </c>
      <c r="D49" s="937">
        <v>0</v>
      </c>
      <c r="E49" s="937">
        <v>0</v>
      </c>
      <c r="F49" s="937">
        <v>0</v>
      </c>
      <c r="G49" s="937">
        <v>0</v>
      </c>
      <c r="H49" s="937">
        <v>0</v>
      </c>
      <c r="I49" s="937">
        <v>783296</v>
      </c>
      <c r="J49" s="937">
        <v>0</v>
      </c>
      <c r="K49" s="937">
        <v>0</v>
      </c>
      <c r="L49" s="937">
        <v>0</v>
      </c>
      <c r="M49" s="937">
        <v>0</v>
      </c>
      <c r="N49" s="937">
        <v>0</v>
      </c>
      <c r="O49" s="937">
        <v>0</v>
      </c>
      <c r="P49" s="937">
        <v>0</v>
      </c>
      <c r="Q49" s="938" t="str">
        <f t="shared" si="6"/>
        <v>Restricted - Other Agency</v>
      </c>
      <c r="R49" s="938">
        <f t="shared" si="7"/>
        <v>783296</v>
      </c>
      <c r="T49" s="519"/>
    </row>
    <row r="50" spans="1:20" s="37" customFormat="1" hidden="1" x14ac:dyDescent="0.2">
      <c r="A50" s="2"/>
      <c r="B50" s="3" t="s">
        <v>398</v>
      </c>
      <c r="C50" s="937">
        <v>0</v>
      </c>
      <c r="D50" s="937">
        <v>0</v>
      </c>
      <c r="E50" s="937">
        <v>0</v>
      </c>
      <c r="F50" s="937">
        <v>0</v>
      </c>
      <c r="G50" s="937">
        <v>0</v>
      </c>
      <c r="H50" s="937">
        <v>0</v>
      </c>
      <c r="I50" s="937">
        <v>0</v>
      </c>
      <c r="J50" s="937">
        <v>0</v>
      </c>
      <c r="K50" s="937">
        <v>0</v>
      </c>
      <c r="L50" s="937">
        <v>0</v>
      </c>
      <c r="M50" s="937">
        <v>0</v>
      </c>
      <c r="N50" s="937">
        <v>0</v>
      </c>
      <c r="O50" s="937">
        <v>0</v>
      </c>
      <c r="P50" s="937">
        <v>0</v>
      </c>
      <c r="Q50" s="938" t="str">
        <f t="shared" si="6"/>
        <v>Revenue in Lieu of Taxes</v>
      </c>
      <c r="R50" s="938">
        <f t="shared" si="7"/>
        <v>0</v>
      </c>
      <c r="T50" s="519"/>
    </row>
    <row r="51" spans="1:20" hidden="1" x14ac:dyDescent="0.2">
      <c r="B51" s="3" t="s">
        <v>554</v>
      </c>
      <c r="C51" s="937">
        <v>0</v>
      </c>
      <c r="D51" s="937">
        <v>0</v>
      </c>
      <c r="E51" s="937">
        <v>0</v>
      </c>
      <c r="F51" s="937">
        <v>0</v>
      </c>
      <c r="G51" s="937">
        <v>0</v>
      </c>
      <c r="H51" s="937">
        <v>0</v>
      </c>
      <c r="I51" s="937">
        <v>0</v>
      </c>
      <c r="J51" s="937">
        <v>0</v>
      </c>
      <c r="K51" s="937">
        <v>0</v>
      </c>
      <c r="L51" s="937">
        <v>0</v>
      </c>
      <c r="M51" s="937">
        <v>0</v>
      </c>
      <c r="N51" s="937">
        <v>0</v>
      </c>
      <c r="O51" s="937">
        <v>0</v>
      </c>
      <c r="P51" s="937">
        <v>0</v>
      </c>
      <c r="Q51" s="938" t="str">
        <f t="shared" si="6"/>
        <v>Revenue for/on behalf of School District</v>
      </c>
      <c r="R51" s="938">
        <f t="shared" si="7"/>
        <v>0</v>
      </c>
    </row>
    <row r="52" spans="1:20" hidden="1" x14ac:dyDescent="0.2">
      <c r="C52" s="935"/>
      <c r="D52" s="935"/>
      <c r="E52" s="935"/>
      <c r="F52" s="935"/>
      <c r="G52" s="935"/>
      <c r="H52" s="935"/>
      <c r="I52" s="935"/>
      <c r="J52" s="935"/>
      <c r="K52" s="935"/>
      <c r="L52" s="935"/>
      <c r="M52" s="935"/>
      <c r="N52" s="935"/>
      <c r="O52" s="935"/>
      <c r="P52" s="935"/>
      <c r="Q52" s="939"/>
      <c r="R52" s="905"/>
    </row>
    <row r="53" spans="1:20" s="2" customFormat="1" x14ac:dyDescent="0.2">
      <c r="B53" s="39" t="s">
        <v>126</v>
      </c>
      <c r="C53" s="931">
        <f>SUM(C43:C52)</f>
        <v>0</v>
      </c>
      <c r="D53" s="931">
        <f t="shared" ref="D53:P53" si="8">SUM(D43:D52)</f>
        <v>0</v>
      </c>
      <c r="E53" s="931">
        <f t="shared" si="8"/>
        <v>75000</v>
      </c>
      <c r="F53" s="931">
        <f t="shared" si="8"/>
        <v>3594179</v>
      </c>
      <c r="G53" s="931">
        <f t="shared" si="8"/>
        <v>0</v>
      </c>
      <c r="H53" s="931">
        <f t="shared" si="8"/>
        <v>0</v>
      </c>
      <c r="I53" s="931">
        <f t="shared" si="8"/>
        <v>783296</v>
      </c>
      <c r="J53" s="931">
        <f t="shared" si="8"/>
        <v>0</v>
      </c>
      <c r="K53" s="931">
        <f t="shared" si="8"/>
        <v>0</v>
      </c>
      <c r="L53" s="931">
        <f t="shared" si="8"/>
        <v>0</v>
      </c>
      <c r="M53" s="931">
        <f t="shared" si="8"/>
        <v>0</v>
      </c>
      <c r="N53" s="931">
        <f t="shared" si="8"/>
        <v>0</v>
      </c>
      <c r="O53" s="931">
        <f t="shared" si="8"/>
        <v>0</v>
      </c>
      <c r="P53" s="931">
        <f t="shared" si="8"/>
        <v>0</v>
      </c>
      <c r="Q53" s="930">
        <f>SUM(C53:P53)</f>
        <v>4452475</v>
      </c>
      <c r="R53" s="903"/>
      <c r="T53" s="53"/>
    </row>
    <row r="54" spans="1:20" x14ac:dyDescent="0.2">
      <c r="B54" s="550"/>
      <c r="C54" s="935"/>
      <c r="D54" s="935"/>
      <c r="E54" s="935"/>
      <c r="F54" s="935"/>
      <c r="G54" s="935"/>
      <c r="H54" s="935"/>
      <c r="I54" s="935"/>
      <c r="J54" s="935"/>
      <c r="K54" s="935"/>
      <c r="L54" s="935"/>
      <c r="M54" s="935"/>
      <c r="N54" s="935"/>
      <c r="O54" s="935"/>
      <c r="P54" s="935"/>
      <c r="Q54" s="939"/>
      <c r="R54" s="905"/>
    </row>
    <row r="55" spans="1:20" hidden="1" x14ac:dyDescent="0.2">
      <c r="B55" s="3" t="s">
        <v>300</v>
      </c>
      <c r="C55" s="937">
        <v>0</v>
      </c>
      <c r="D55" s="937">
        <v>0</v>
      </c>
      <c r="E55" s="937">
        <v>0</v>
      </c>
      <c r="F55" s="937">
        <v>0</v>
      </c>
      <c r="G55" s="937">
        <v>0</v>
      </c>
      <c r="H55" s="937">
        <v>0</v>
      </c>
      <c r="I55" s="937">
        <v>0</v>
      </c>
      <c r="J55" s="937">
        <v>0</v>
      </c>
      <c r="K55" s="937">
        <v>0</v>
      </c>
      <c r="L55" s="937">
        <v>0</v>
      </c>
      <c r="M55" s="937">
        <v>0</v>
      </c>
      <c r="N55" s="937">
        <v>0</v>
      </c>
      <c r="O55" s="937">
        <v>0</v>
      </c>
      <c r="P55" s="937">
        <v>0</v>
      </c>
      <c r="Q55" s="938" t="str">
        <f>B55</f>
        <v xml:space="preserve">Bond Principal </v>
      </c>
      <c r="R55" s="938">
        <f>SUM(C55:P55)</f>
        <v>0</v>
      </c>
    </row>
    <row r="56" spans="1:20" hidden="1" x14ac:dyDescent="0.2">
      <c r="B56" s="3" t="s">
        <v>408</v>
      </c>
      <c r="C56" s="937">
        <v>0</v>
      </c>
      <c r="D56" s="937">
        <v>0</v>
      </c>
      <c r="E56" s="937">
        <v>0</v>
      </c>
      <c r="F56" s="937">
        <v>0</v>
      </c>
      <c r="G56" s="937">
        <v>0</v>
      </c>
      <c r="H56" s="937">
        <v>0</v>
      </c>
      <c r="I56" s="937">
        <v>0</v>
      </c>
      <c r="J56" s="937">
        <v>0</v>
      </c>
      <c r="K56" s="937">
        <v>0</v>
      </c>
      <c r="L56" s="937">
        <v>0</v>
      </c>
      <c r="M56" s="937">
        <v>0</v>
      </c>
      <c r="N56" s="937">
        <v>0</v>
      </c>
      <c r="O56" s="937">
        <v>0</v>
      </c>
      <c r="P56" s="937">
        <v>0</v>
      </c>
      <c r="Q56" s="938" t="str">
        <f>B56</f>
        <v>Premium/Discount of Bond Sale</v>
      </c>
      <c r="R56" s="938">
        <f>SUM(C56:P56)</f>
        <v>0</v>
      </c>
    </row>
    <row r="57" spans="1:20" s="37" customFormat="1" x14ac:dyDescent="0.2">
      <c r="A57" s="2"/>
      <c r="B57" s="3" t="s">
        <v>301</v>
      </c>
      <c r="C57" s="937">
        <v>0</v>
      </c>
      <c r="D57" s="937">
        <v>0</v>
      </c>
      <c r="E57" s="937">
        <v>2482023</v>
      </c>
      <c r="F57" s="937">
        <v>0</v>
      </c>
      <c r="G57" s="937">
        <v>0</v>
      </c>
      <c r="H57" s="937">
        <v>0</v>
      </c>
      <c r="I57" s="937">
        <v>62979</v>
      </c>
      <c r="J57" s="937">
        <v>0</v>
      </c>
      <c r="K57" s="937">
        <v>0</v>
      </c>
      <c r="L57" s="937">
        <v>1874441</v>
      </c>
      <c r="M57" s="937">
        <v>0</v>
      </c>
      <c r="N57" s="937">
        <v>0</v>
      </c>
      <c r="O57" s="937">
        <v>0</v>
      </c>
      <c r="P57" s="937">
        <v>-4419443</v>
      </c>
      <c r="Q57" s="938" t="str">
        <f>B57</f>
        <v>Transfers from Other Funds</v>
      </c>
      <c r="R57" s="938">
        <f>SUM(C57:P57)</f>
        <v>0</v>
      </c>
      <c r="T57" s="519"/>
    </row>
    <row r="58" spans="1:20" s="37" customFormat="1" hidden="1" x14ac:dyDescent="0.2">
      <c r="A58" s="2"/>
      <c r="B58" s="3" t="s">
        <v>302</v>
      </c>
      <c r="C58" s="937">
        <v>0</v>
      </c>
      <c r="D58" s="937">
        <v>0</v>
      </c>
      <c r="E58" s="937">
        <v>0</v>
      </c>
      <c r="F58" s="937">
        <v>0</v>
      </c>
      <c r="G58" s="937">
        <v>0</v>
      </c>
      <c r="H58" s="937">
        <v>0</v>
      </c>
      <c r="I58" s="937">
        <v>0</v>
      </c>
      <c r="J58" s="937">
        <v>0</v>
      </c>
      <c r="K58" s="937">
        <v>0</v>
      </c>
      <c r="L58" s="937">
        <v>0</v>
      </c>
      <c r="M58" s="937">
        <v>0</v>
      </c>
      <c r="N58" s="937">
        <v>0</v>
      </c>
      <c r="O58" s="937">
        <v>0</v>
      </c>
      <c r="P58" s="937">
        <v>0</v>
      </c>
      <c r="Q58" s="938" t="str">
        <f>B58</f>
        <v xml:space="preserve">Gain/Loss Disposal of Assets </v>
      </c>
      <c r="R58" s="938">
        <f>SUM(C58:P58)</f>
        <v>0</v>
      </c>
      <c r="T58" s="519"/>
    </row>
    <row r="59" spans="1:20" x14ac:dyDescent="0.2">
      <c r="C59" s="935"/>
      <c r="D59" s="935"/>
      <c r="E59" s="935"/>
      <c r="F59" s="935"/>
      <c r="G59" s="935"/>
      <c r="H59" s="935"/>
      <c r="I59" s="935"/>
      <c r="J59" s="935"/>
      <c r="K59" s="935"/>
      <c r="L59" s="935"/>
      <c r="M59" s="935"/>
      <c r="N59" s="935"/>
      <c r="O59" s="935"/>
      <c r="P59" s="935"/>
      <c r="Q59" s="939"/>
      <c r="R59" s="905"/>
    </row>
    <row r="60" spans="1:20" s="2" customFormat="1" x14ac:dyDescent="0.2">
      <c r="B60" s="39" t="s">
        <v>127</v>
      </c>
      <c r="C60" s="931">
        <f>SUM(C55:C59)</f>
        <v>0</v>
      </c>
      <c r="D60" s="931">
        <f t="shared" ref="D60:O60" si="9">SUM(D55:D59)</f>
        <v>0</v>
      </c>
      <c r="E60" s="931">
        <f t="shared" si="9"/>
        <v>2482023</v>
      </c>
      <c r="F60" s="931">
        <f t="shared" si="9"/>
        <v>0</v>
      </c>
      <c r="G60" s="931">
        <f t="shared" si="9"/>
        <v>0</v>
      </c>
      <c r="H60" s="931">
        <f t="shared" si="9"/>
        <v>0</v>
      </c>
      <c r="I60" s="931">
        <f t="shared" si="9"/>
        <v>62979</v>
      </c>
      <c r="J60" s="931">
        <f t="shared" si="9"/>
        <v>0</v>
      </c>
      <c r="K60" s="931">
        <f t="shared" si="9"/>
        <v>0</v>
      </c>
      <c r="L60" s="931">
        <f t="shared" si="9"/>
        <v>1874441</v>
      </c>
      <c r="M60" s="931">
        <f t="shared" si="9"/>
        <v>0</v>
      </c>
      <c r="N60" s="931">
        <f t="shared" si="9"/>
        <v>0</v>
      </c>
      <c r="O60" s="931">
        <f t="shared" si="9"/>
        <v>0</v>
      </c>
      <c r="P60" s="931">
        <f>SUM(P55:P59)</f>
        <v>-4419443</v>
      </c>
      <c r="Q60" s="930">
        <f>SUM(C60:P60)</f>
        <v>0</v>
      </c>
      <c r="R60" s="903"/>
      <c r="T60" s="53"/>
    </row>
    <row r="61" spans="1:20" x14ac:dyDescent="0.2">
      <c r="C61" s="935"/>
      <c r="D61" s="935"/>
      <c r="E61" s="935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9"/>
      <c r="R61" s="905"/>
    </row>
    <row r="62" spans="1:20" s="2" customFormat="1" x14ac:dyDescent="0.2">
      <c r="B62" s="18" t="s">
        <v>128</v>
      </c>
      <c r="C62" s="931">
        <f>SUM(C60,C53,C42,C29)</f>
        <v>32807468</v>
      </c>
      <c r="D62" s="931">
        <f t="shared" ref="D62:P62" si="10">SUM(D60,D53,D42,D29)</f>
        <v>1666222</v>
      </c>
      <c r="E62" s="931">
        <f t="shared" si="10"/>
        <v>4498062</v>
      </c>
      <c r="F62" s="931">
        <f t="shared" si="10"/>
        <v>3594179</v>
      </c>
      <c r="G62" s="931">
        <f t="shared" si="10"/>
        <v>5698316</v>
      </c>
      <c r="H62" s="931">
        <f t="shared" si="10"/>
        <v>49254</v>
      </c>
      <c r="I62" s="931">
        <f t="shared" si="10"/>
        <v>1137005</v>
      </c>
      <c r="J62" s="931">
        <f t="shared" si="10"/>
        <v>151528</v>
      </c>
      <c r="K62" s="931">
        <f t="shared" si="10"/>
        <v>319564</v>
      </c>
      <c r="L62" s="931">
        <f t="shared" si="10"/>
        <v>1879441</v>
      </c>
      <c r="M62" s="931">
        <f t="shared" si="10"/>
        <v>2400</v>
      </c>
      <c r="N62" s="931">
        <f t="shared" si="10"/>
        <v>369257</v>
      </c>
      <c r="O62" s="931">
        <f t="shared" si="10"/>
        <v>0</v>
      </c>
      <c r="P62" s="931">
        <f t="shared" si="10"/>
        <v>-4419443</v>
      </c>
      <c r="Q62" s="930">
        <f>SUM(Q29:Q61)</f>
        <v>47753253</v>
      </c>
      <c r="R62" s="903"/>
      <c r="T62" s="53"/>
    </row>
    <row r="63" spans="1:20" s="2" customFormat="1" x14ac:dyDescent="0.2">
      <c r="B63" s="18"/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930"/>
      <c r="R63" s="903"/>
      <c r="T63" s="53"/>
    </row>
    <row r="64" spans="1:20" s="37" customFormat="1" x14ac:dyDescent="0.2">
      <c r="A64" s="2"/>
      <c r="B64" s="3" t="s">
        <v>636</v>
      </c>
      <c r="C64" s="937">
        <v>2573136</v>
      </c>
      <c r="D64" s="937">
        <v>0</v>
      </c>
      <c r="E64" s="937">
        <v>0</v>
      </c>
      <c r="F64" s="937">
        <v>0</v>
      </c>
      <c r="G64" s="937">
        <v>0</v>
      </c>
      <c r="H64" s="937">
        <v>0</v>
      </c>
      <c r="I64" s="937">
        <v>0</v>
      </c>
      <c r="J64" s="937">
        <v>0</v>
      </c>
      <c r="K64" s="937">
        <v>0</v>
      </c>
      <c r="L64" s="937">
        <v>0</v>
      </c>
      <c r="M64" s="937">
        <v>0</v>
      </c>
      <c r="N64" s="937">
        <v>0</v>
      </c>
      <c r="O64" s="937">
        <v>0</v>
      </c>
      <c r="P64" s="937">
        <v>0</v>
      </c>
      <c r="Q64" s="938" t="str">
        <f>B64</f>
        <v>Res Opening Bal Net Proceeds CY 18 for FY 20</v>
      </c>
      <c r="R64" s="938">
        <f>SUM(C64:P64)</f>
        <v>2573136</v>
      </c>
      <c r="T64" s="519"/>
    </row>
    <row r="65" spans="1:20" s="37" customFormat="1" x14ac:dyDescent="0.2">
      <c r="A65" s="2"/>
      <c r="B65" s="3" t="s">
        <v>637</v>
      </c>
      <c r="C65" s="937">
        <v>60696</v>
      </c>
      <c r="D65" s="937">
        <v>0</v>
      </c>
      <c r="E65" s="937">
        <v>0</v>
      </c>
      <c r="F65" s="937">
        <v>0</v>
      </c>
      <c r="G65" s="937">
        <v>0</v>
      </c>
      <c r="H65" s="937">
        <v>0</v>
      </c>
      <c r="I65" s="937">
        <v>0</v>
      </c>
      <c r="J65" s="937">
        <v>0</v>
      </c>
      <c r="K65" s="937">
        <v>0</v>
      </c>
      <c r="L65" s="937">
        <v>0</v>
      </c>
      <c r="M65" s="937">
        <v>0</v>
      </c>
      <c r="N65" s="937">
        <v>0</v>
      </c>
      <c r="O65" s="937">
        <v>0</v>
      </c>
      <c r="P65" s="937">
        <v>0</v>
      </c>
      <c r="Q65" s="938" t="str">
        <f>B65</f>
        <v>Reserved Opening Bal - Inventories/Prepaids</v>
      </c>
      <c r="R65" s="938">
        <f>SUM(C65:P65)</f>
        <v>60696</v>
      </c>
      <c r="T65" s="519"/>
    </row>
    <row r="66" spans="1:20" s="37" customFormat="1" x14ac:dyDescent="0.2">
      <c r="A66" s="2"/>
      <c r="B66" s="3" t="s">
        <v>600</v>
      </c>
      <c r="C66" s="937">
        <v>3597541</v>
      </c>
      <c r="D66" s="937">
        <v>0</v>
      </c>
      <c r="E66" s="937">
        <v>0</v>
      </c>
      <c r="F66" s="937">
        <v>0</v>
      </c>
      <c r="G66" s="937">
        <v>0</v>
      </c>
      <c r="H66" s="937">
        <v>0</v>
      </c>
      <c r="I66" s="937">
        <v>0</v>
      </c>
      <c r="J66" s="937">
        <v>446288</v>
      </c>
      <c r="K66" s="937">
        <v>128102</v>
      </c>
      <c r="L66" s="937">
        <v>0</v>
      </c>
      <c r="M66" s="937">
        <v>0</v>
      </c>
      <c r="N66" s="937">
        <v>0</v>
      </c>
      <c r="O66" s="937">
        <v>0</v>
      </c>
      <c r="P66" s="937">
        <v>0</v>
      </c>
      <c r="Q66" s="938" t="str">
        <f>B66</f>
        <v>Unreserved Opening Balance</v>
      </c>
      <c r="R66" s="938">
        <f>SUM(C66:P66)</f>
        <v>4171931</v>
      </c>
      <c r="T66" s="519"/>
    </row>
    <row r="67" spans="1:20" s="37" customFormat="1" x14ac:dyDescent="0.2">
      <c r="A67" s="2"/>
      <c r="B67" s="3" t="s">
        <v>304</v>
      </c>
      <c r="C67" s="937">
        <v>0</v>
      </c>
      <c r="D67" s="937">
        <v>916503</v>
      </c>
      <c r="E67" s="937">
        <v>0</v>
      </c>
      <c r="F67" s="937">
        <v>0</v>
      </c>
      <c r="G67" s="937">
        <v>5000</v>
      </c>
      <c r="H67" s="937">
        <v>35000</v>
      </c>
      <c r="I67" s="937">
        <v>41040</v>
      </c>
      <c r="J67" s="937">
        <v>0</v>
      </c>
      <c r="K67" s="937">
        <v>0</v>
      </c>
      <c r="L67" s="937">
        <v>89097</v>
      </c>
      <c r="M67" s="937">
        <v>90615</v>
      </c>
      <c r="N67" s="937">
        <v>1217792</v>
      </c>
      <c r="O67" s="937">
        <v>84018</v>
      </c>
      <c r="P67" s="937">
        <v>0</v>
      </c>
      <c r="Q67" s="938" t="str">
        <f>B67</f>
        <v>Opening Balance (Other)</v>
      </c>
      <c r="R67" s="938">
        <f>SUM(C67:P67)</f>
        <v>2479065</v>
      </c>
      <c r="T67" s="519"/>
    </row>
    <row r="68" spans="1:20" s="37" customFormat="1" hidden="1" x14ac:dyDescent="0.2">
      <c r="A68" s="2"/>
      <c r="B68" s="3" t="s">
        <v>305</v>
      </c>
      <c r="C68" s="937">
        <v>0</v>
      </c>
      <c r="D68" s="937">
        <v>0</v>
      </c>
      <c r="E68" s="937">
        <v>0</v>
      </c>
      <c r="F68" s="937">
        <v>0</v>
      </c>
      <c r="G68" s="937">
        <v>0</v>
      </c>
      <c r="H68" s="937">
        <v>0</v>
      </c>
      <c r="I68" s="937">
        <v>0</v>
      </c>
      <c r="J68" s="937">
        <v>0</v>
      </c>
      <c r="K68" s="937">
        <v>0</v>
      </c>
      <c r="L68" s="937">
        <v>0</v>
      </c>
      <c r="M68" s="937">
        <v>0</v>
      </c>
      <c r="N68" s="937">
        <v>0</v>
      </c>
      <c r="O68" s="937">
        <v>0</v>
      </c>
      <c r="P68" s="937">
        <v>0</v>
      </c>
      <c r="Q68" s="938" t="str">
        <f>B68</f>
        <v>Reverted to State</v>
      </c>
      <c r="R68" s="938">
        <f>SUM(C68:P68)</f>
        <v>0</v>
      </c>
      <c r="T68" s="519"/>
    </row>
    <row r="69" spans="1:20" hidden="1" x14ac:dyDescent="0.2">
      <c r="C69" s="935"/>
      <c r="D69" s="935"/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05"/>
      <c r="R69" s="905"/>
    </row>
    <row r="70" spans="1:20" s="2" customFormat="1" x14ac:dyDescent="0.2">
      <c r="B70" s="39" t="s">
        <v>129</v>
      </c>
      <c r="C70" s="931">
        <f>SUM(C63:C69)</f>
        <v>6231373</v>
      </c>
      <c r="D70" s="931">
        <f t="shared" ref="D70:O70" si="11">SUM(D63:D69)</f>
        <v>916503</v>
      </c>
      <c r="E70" s="931">
        <f t="shared" si="11"/>
        <v>0</v>
      </c>
      <c r="F70" s="931">
        <f t="shared" si="11"/>
        <v>0</v>
      </c>
      <c r="G70" s="931">
        <f t="shared" si="11"/>
        <v>5000</v>
      </c>
      <c r="H70" s="931">
        <f t="shared" si="11"/>
        <v>35000</v>
      </c>
      <c r="I70" s="931">
        <f t="shared" si="11"/>
        <v>41040</v>
      </c>
      <c r="J70" s="931">
        <f t="shared" si="11"/>
        <v>446288</v>
      </c>
      <c r="K70" s="931">
        <f t="shared" si="11"/>
        <v>128102</v>
      </c>
      <c r="L70" s="931">
        <f t="shared" si="11"/>
        <v>89097</v>
      </c>
      <c r="M70" s="931">
        <f t="shared" si="11"/>
        <v>90615</v>
      </c>
      <c r="N70" s="931">
        <f t="shared" si="11"/>
        <v>1217792</v>
      </c>
      <c r="O70" s="931">
        <f t="shared" si="11"/>
        <v>84018</v>
      </c>
      <c r="P70" s="931">
        <f>SUM(P63:P69)</f>
        <v>0</v>
      </c>
      <c r="Q70" s="931">
        <f>SUM(C70:P70)</f>
        <v>9284828</v>
      </c>
      <c r="R70" s="903"/>
      <c r="T70" s="53"/>
    </row>
    <row r="72" spans="1:20" s="2" customFormat="1" x14ac:dyDescent="0.2">
      <c r="A72" s="22"/>
      <c r="B72" s="23" t="s">
        <v>306</v>
      </c>
      <c r="C72" s="24">
        <f>SUM(C70,C62)</f>
        <v>39038841</v>
      </c>
      <c r="D72" s="24">
        <f t="shared" ref="D72:P72" si="12">SUM(D70,D62)</f>
        <v>2582725</v>
      </c>
      <c r="E72" s="24">
        <f t="shared" si="12"/>
        <v>4498062</v>
      </c>
      <c r="F72" s="24">
        <f t="shared" si="12"/>
        <v>3594179</v>
      </c>
      <c r="G72" s="24">
        <f t="shared" si="12"/>
        <v>5703316</v>
      </c>
      <c r="H72" s="24">
        <f t="shared" si="12"/>
        <v>84254</v>
      </c>
      <c r="I72" s="24">
        <f t="shared" si="12"/>
        <v>1178045</v>
      </c>
      <c r="J72" s="24">
        <f t="shared" si="12"/>
        <v>597816</v>
      </c>
      <c r="K72" s="24">
        <f t="shared" si="12"/>
        <v>447666</v>
      </c>
      <c r="L72" s="24">
        <f t="shared" si="12"/>
        <v>1968538</v>
      </c>
      <c r="M72" s="24">
        <f t="shared" si="12"/>
        <v>93015</v>
      </c>
      <c r="N72" s="24">
        <f t="shared" si="12"/>
        <v>1587049</v>
      </c>
      <c r="O72" s="24">
        <f t="shared" si="12"/>
        <v>84018</v>
      </c>
      <c r="P72" s="24">
        <f t="shared" si="12"/>
        <v>-4419443</v>
      </c>
      <c r="Q72" s="528">
        <f>SUM(C72:P72)</f>
        <v>57038081</v>
      </c>
      <c r="R72" s="49">
        <f>F1-Q72</f>
        <v>0</v>
      </c>
      <c r="S72" s="20"/>
      <c r="T72" s="53"/>
    </row>
    <row r="73" spans="1:20" s="2" customFormat="1" x14ac:dyDescent="0.2">
      <c r="A73" s="27"/>
      <c r="B73" s="28" t="s">
        <v>131</v>
      </c>
      <c r="C73" s="285">
        <f>SUM(C77:C212)</f>
        <v>39038841</v>
      </c>
      <c r="D73" s="285">
        <f t="shared" ref="D73:P73" si="13">SUM(D77:D212)</f>
        <v>2582725</v>
      </c>
      <c r="E73" s="285">
        <f t="shared" si="13"/>
        <v>4498062</v>
      </c>
      <c r="F73" s="285">
        <f t="shared" si="13"/>
        <v>3594179</v>
      </c>
      <c r="G73" s="285">
        <f t="shared" si="13"/>
        <v>5703316</v>
      </c>
      <c r="H73" s="285">
        <f t="shared" si="13"/>
        <v>84254</v>
      </c>
      <c r="I73" s="285">
        <f t="shared" si="13"/>
        <v>1178045</v>
      </c>
      <c r="J73" s="285">
        <f t="shared" si="13"/>
        <v>597816</v>
      </c>
      <c r="K73" s="285">
        <f t="shared" si="13"/>
        <v>447666</v>
      </c>
      <c r="L73" s="285">
        <f t="shared" si="13"/>
        <v>1968538</v>
      </c>
      <c r="M73" s="285">
        <f t="shared" si="13"/>
        <v>93015</v>
      </c>
      <c r="N73" s="285">
        <f t="shared" si="13"/>
        <v>1587049</v>
      </c>
      <c r="O73" s="285">
        <f t="shared" si="13"/>
        <v>84018</v>
      </c>
      <c r="P73" s="285">
        <f t="shared" si="13"/>
        <v>-4419443</v>
      </c>
      <c r="Q73" s="529">
        <f>SUM(C73:P73)</f>
        <v>57038081</v>
      </c>
      <c r="T73" s="53"/>
    </row>
    <row r="74" spans="1:20" x14ac:dyDescent="0.2">
      <c r="A74" s="30"/>
      <c r="B74" s="286" t="s">
        <v>132</v>
      </c>
      <c r="C74" s="909">
        <f t="shared" ref="C74:Q74" si="14">C72-C73</f>
        <v>0</v>
      </c>
      <c r="D74" s="909">
        <f>D72-D73</f>
        <v>0</v>
      </c>
      <c r="E74" s="909">
        <f>E72-E73</f>
        <v>0</v>
      </c>
      <c r="F74" s="909">
        <f>F72-F73</f>
        <v>0</v>
      </c>
      <c r="G74" s="909">
        <f>G72-G73</f>
        <v>0</v>
      </c>
      <c r="H74" s="909">
        <f t="shared" ref="H74" si="15">H72-H73</f>
        <v>0</v>
      </c>
      <c r="I74" s="909">
        <f>I72-I73</f>
        <v>0</v>
      </c>
      <c r="J74" s="909">
        <f>J72-J73</f>
        <v>0</v>
      </c>
      <c r="K74" s="909">
        <f t="shared" si="14"/>
        <v>0</v>
      </c>
      <c r="L74" s="909">
        <f t="shared" si="14"/>
        <v>0</v>
      </c>
      <c r="M74" s="909">
        <f t="shared" si="14"/>
        <v>0</v>
      </c>
      <c r="N74" s="909">
        <f t="shared" si="14"/>
        <v>0</v>
      </c>
      <c r="O74" s="909">
        <f>O72-O73</f>
        <v>0</v>
      </c>
      <c r="P74" s="909">
        <f>P72-P73</f>
        <v>0</v>
      </c>
      <c r="Q74" s="522">
        <f t="shared" si="14"/>
        <v>0</v>
      </c>
    </row>
    <row r="76" spans="1:20" x14ac:dyDescent="0.2">
      <c r="B76" s="2" t="s">
        <v>307</v>
      </c>
    </row>
    <row r="77" spans="1:20" x14ac:dyDescent="0.2">
      <c r="A77" s="2">
        <v>100</v>
      </c>
      <c r="B77" s="3" t="s">
        <v>134</v>
      </c>
      <c r="C77" s="935">
        <v>16956417</v>
      </c>
      <c r="D77" s="935">
        <v>0</v>
      </c>
      <c r="E77" s="935">
        <v>0</v>
      </c>
      <c r="F77" s="935">
        <v>855157</v>
      </c>
      <c r="G77" s="935">
        <v>3138566</v>
      </c>
      <c r="H77" s="935">
        <v>55340</v>
      </c>
      <c r="I77" s="935">
        <v>0</v>
      </c>
      <c r="J77" s="935">
        <v>0</v>
      </c>
      <c r="K77" s="935">
        <v>0</v>
      </c>
      <c r="L77" s="935">
        <v>0</v>
      </c>
      <c r="M77" s="935">
        <v>0</v>
      </c>
      <c r="N77" s="935">
        <v>0</v>
      </c>
      <c r="O77" s="935">
        <v>0</v>
      </c>
      <c r="P77" s="935">
        <v>0</v>
      </c>
      <c r="Q77" s="935">
        <f t="shared" ref="Q77:Q121" si="16">SUM(C77:P77)</f>
        <v>21005480</v>
      </c>
    </row>
    <row r="78" spans="1:20" x14ac:dyDescent="0.2">
      <c r="A78" s="2">
        <v>200</v>
      </c>
      <c r="B78" s="3" t="s">
        <v>135</v>
      </c>
      <c r="C78" s="935">
        <v>0</v>
      </c>
      <c r="D78" s="935">
        <v>0</v>
      </c>
      <c r="E78" s="935">
        <v>4498062</v>
      </c>
      <c r="F78" s="935">
        <v>1235567</v>
      </c>
      <c r="G78" s="935">
        <v>2041</v>
      </c>
      <c r="H78" s="935">
        <v>13782</v>
      </c>
      <c r="I78" s="935">
        <v>0</v>
      </c>
      <c r="J78" s="935">
        <v>0</v>
      </c>
      <c r="K78" s="935">
        <v>0</v>
      </c>
      <c r="L78" s="935">
        <v>0</v>
      </c>
      <c r="M78" s="935">
        <v>0</v>
      </c>
      <c r="N78" s="935">
        <v>0</v>
      </c>
      <c r="O78" s="935">
        <v>0</v>
      </c>
      <c r="P78" s="935">
        <v>-2482023</v>
      </c>
      <c r="Q78" s="935">
        <f t="shared" si="16"/>
        <v>3267429</v>
      </c>
    </row>
    <row r="79" spans="1:20" hidden="1" x14ac:dyDescent="0.2">
      <c r="A79" s="2" t="s">
        <v>10</v>
      </c>
      <c r="B79" s="3" t="s">
        <v>136</v>
      </c>
      <c r="C79" s="935">
        <v>0</v>
      </c>
      <c r="D79" s="935">
        <v>0</v>
      </c>
      <c r="E79" s="935">
        <v>0</v>
      </c>
      <c r="F79" s="935">
        <v>0</v>
      </c>
      <c r="G79" s="935">
        <v>0</v>
      </c>
      <c r="H79" s="935">
        <v>0</v>
      </c>
      <c r="I79" s="935">
        <v>0</v>
      </c>
      <c r="J79" s="935">
        <v>0</v>
      </c>
      <c r="K79" s="935">
        <v>0</v>
      </c>
      <c r="L79" s="935">
        <v>0</v>
      </c>
      <c r="M79" s="935">
        <v>0</v>
      </c>
      <c r="N79" s="935">
        <v>0</v>
      </c>
      <c r="O79" s="935">
        <v>0</v>
      </c>
      <c r="P79" s="935">
        <v>0</v>
      </c>
      <c r="Q79" s="935">
        <f t="shared" si="16"/>
        <v>0</v>
      </c>
    </row>
    <row r="80" spans="1:20" hidden="1" x14ac:dyDescent="0.2">
      <c r="A80" s="2">
        <v>270</v>
      </c>
      <c r="B80" s="3" t="s">
        <v>137</v>
      </c>
      <c r="C80" s="935">
        <v>0</v>
      </c>
      <c r="D80" s="935">
        <v>0</v>
      </c>
      <c r="E80" s="935">
        <v>0</v>
      </c>
      <c r="F80" s="935">
        <v>0</v>
      </c>
      <c r="G80" s="935">
        <v>0</v>
      </c>
      <c r="H80" s="935">
        <v>0</v>
      </c>
      <c r="I80" s="935">
        <v>0</v>
      </c>
      <c r="J80" s="935">
        <v>0</v>
      </c>
      <c r="K80" s="935">
        <v>0</v>
      </c>
      <c r="L80" s="935">
        <v>0</v>
      </c>
      <c r="M80" s="935">
        <v>0</v>
      </c>
      <c r="N80" s="935">
        <v>0</v>
      </c>
      <c r="O80" s="935">
        <v>0</v>
      </c>
      <c r="P80" s="935">
        <v>0</v>
      </c>
      <c r="Q80" s="935">
        <f t="shared" si="16"/>
        <v>0</v>
      </c>
    </row>
    <row r="81" spans="1:20" hidden="1" x14ac:dyDescent="0.2">
      <c r="A81" s="2" t="s">
        <v>10</v>
      </c>
      <c r="B81" s="3" t="s">
        <v>138</v>
      </c>
      <c r="C81" s="935">
        <v>0</v>
      </c>
      <c r="D81" s="935">
        <v>0</v>
      </c>
      <c r="E81" s="935">
        <v>0</v>
      </c>
      <c r="F81" s="935">
        <v>0</v>
      </c>
      <c r="G81" s="935">
        <v>0</v>
      </c>
      <c r="H81" s="935">
        <v>0</v>
      </c>
      <c r="I81" s="935">
        <v>0</v>
      </c>
      <c r="J81" s="935">
        <v>0</v>
      </c>
      <c r="K81" s="935">
        <v>0</v>
      </c>
      <c r="L81" s="935">
        <v>0</v>
      </c>
      <c r="M81" s="935">
        <v>0</v>
      </c>
      <c r="N81" s="935">
        <v>0</v>
      </c>
      <c r="O81" s="935">
        <v>0</v>
      </c>
      <c r="P81" s="935">
        <v>0</v>
      </c>
      <c r="Q81" s="935">
        <f t="shared" si="16"/>
        <v>0</v>
      </c>
    </row>
    <row r="82" spans="1:20" x14ac:dyDescent="0.2">
      <c r="A82" s="2">
        <v>300</v>
      </c>
      <c r="B82" s="3" t="s">
        <v>139</v>
      </c>
      <c r="C82" s="935">
        <v>1072152</v>
      </c>
      <c r="D82" s="935">
        <v>0</v>
      </c>
      <c r="E82" s="935">
        <v>0</v>
      </c>
      <c r="F82" s="935">
        <v>32459</v>
      </c>
      <c r="G82" s="935">
        <v>72983</v>
      </c>
      <c r="H82" s="935">
        <v>1465</v>
      </c>
      <c r="I82" s="935">
        <v>0</v>
      </c>
      <c r="J82" s="935">
        <v>0</v>
      </c>
      <c r="K82" s="935">
        <v>0</v>
      </c>
      <c r="L82" s="935">
        <v>0</v>
      </c>
      <c r="M82" s="935">
        <v>0</v>
      </c>
      <c r="N82" s="935">
        <v>0</v>
      </c>
      <c r="O82" s="935">
        <v>0</v>
      </c>
      <c r="P82" s="935">
        <v>0</v>
      </c>
      <c r="Q82" s="935">
        <f t="shared" si="16"/>
        <v>1179059</v>
      </c>
    </row>
    <row r="83" spans="1:20" x14ac:dyDescent="0.2">
      <c r="A83" s="2">
        <v>400</v>
      </c>
      <c r="B83" s="3" t="s">
        <v>140</v>
      </c>
      <c r="C83" s="935">
        <v>1040540</v>
      </c>
      <c r="D83" s="935">
        <v>0</v>
      </c>
      <c r="E83" s="935">
        <v>0</v>
      </c>
      <c r="F83" s="935">
        <v>188237</v>
      </c>
      <c r="G83" s="935">
        <v>552741</v>
      </c>
      <c r="H83" s="935">
        <v>0</v>
      </c>
      <c r="I83" s="935">
        <v>0</v>
      </c>
      <c r="J83" s="935">
        <v>0</v>
      </c>
      <c r="K83" s="935">
        <v>0</v>
      </c>
      <c r="L83" s="935">
        <v>0</v>
      </c>
      <c r="M83" s="935">
        <v>0</v>
      </c>
      <c r="N83" s="935">
        <v>0</v>
      </c>
      <c r="O83" s="935">
        <v>0</v>
      </c>
      <c r="P83" s="935">
        <v>0</v>
      </c>
      <c r="Q83" s="935">
        <f t="shared" si="16"/>
        <v>1781518</v>
      </c>
    </row>
    <row r="84" spans="1:20" hidden="1" x14ac:dyDescent="0.2">
      <c r="A84" s="2" t="s">
        <v>10</v>
      </c>
      <c r="B84" s="3" t="s">
        <v>141</v>
      </c>
      <c r="C84" s="935">
        <v>0</v>
      </c>
      <c r="D84" s="935">
        <v>0</v>
      </c>
      <c r="E84" s="935">
        <v>0</v>
      </c>
      <c r="F84" s="935">
        <v>0</v>
      </c>
      <c r="G84" s="935">
        <v>0</v>
      </c>
      <c r="H84" s="935">
        <v>0</v>
      </c>
      <c r="I84" s="935">
        <v>0</v>
      </c>
      <c r="J84" s="935">
        <v>0</v>
      </c>
      <c r="K84" s="935">
        <v>0</v>
      </c>
      <c r="L84" s="935">
        <v>0</v>
      </c>
      <c r="M84" s="935">
        <v>0</v>
      </c>
      <c r="N84" s="935">
        <v>0</v>
      </c>
      <c r="O84" s="935">
        <v>0</v>
      </c>
      <c r="P84" s="935">
        <v>0</v>
      </c>
      <c r="Q84" s="935">
        <f t="shared" si="16"/>
        <v>0</v>
      </c>
    </row>
    <row r="85" spans="1:20" hidden="1" x14ac:dyDescent="0.2">
      <c r="A85" s="2" t="s">
        <v>10</v>
      </c>
      <c r="B85" s="3" t="s">
        <v>142</v>
      </c>
      <c r="C85" s="935">
        <v>0</v>
      </c>
      <c r="D85" s="935">
        <v>0</v>
      </c>
      <c r="E85" s="935">
        <v>0</v>
      </c>
      <c r="F85" s="935">
        <v>0</v>
      </c>
      <c r="G85" s="935">
        <v>0</v>
      </c>
      <c r="H85" s="935">
        <v>0</v>
      </c>
      <c r="I85" s="935">
        <v>0</v>
      </c>
      <c r="J85" s="935">
        <v>0</v>
      </c>
      <c r="K85" s="935">
        <v>0</v>
      </c>
      <c r="L85" s="935">
        <v>0</v>
      </c>
      <c r="M85" s="935">
        <v>0</v>
      </c>
      <c r="N85" s="935">
        <v>0</v>
      </c>
      <c r="O85" s="935">
        <v>0</v>
      </c>
      <c r="P85" s="935">
        <v>0</v>
      </c>
      <c r="Q85" s="935">
        <f t="shared" si="16"/>
        <v>0</v>
      </c>
    </row>
    <row r="86" spans="1:20" hidden="1" x14ac:dyDescent="0.2">
      <c r="A86" s="2">
        <v>430</v>
      </c>
      <c r="B86" s="3" t="s">
        <v>548</v>
      </c>
      <c r="C86" s="935">
        <v>0</v>
      </c>
      <c r="D86" s="935">
        <v>0</v>
      </c>
      <c r="E86" s="935">
        <v>0</v>
      </c>
      <c r="F86" s="935">
        <v>0</v>
      </c>
      <c r="G86" s="935">
        <v>0</v>
      </c>
      <c r="H86" s="935">
        <v>0</v>
      </c>
      <c r="I86" s="935">
        <v>0</v>
      </c>
      <c r="J86" s="935">
        <v>0</v>
      </c>
      <c r="K86" s="935">
        <v>0</v>
      </c>
      <c r="L86" s="935">
        <v>0</v>
      </c>
      <c r="M86" s="935">
        <v>0</v>
      </c>
      <c r="N86" s="935">
        <v>0</v>
      </c>
      <c r="O86" s="935">
        <v>0</v>
      </c>
      <c r="P86" s="935">
        <v>0</v>
      </c>
      <c r="Q86" s="935">
        <f t="shared" si="16"/>
        <v>0</v>
      </c>
    </row>
    <row r="87" spans="1:20" hidden="1" x14ac:dyDescent="0.2">
      <c r="A87" s="2">
        <v>440</v>
      </c>
      <c r="B87" s="3" t="s">
        <v>143</v>
      </c>
      <c r="C87" s="935">
        <v>0</v>
      </c>
      <c r="D87" s="935">
        <v>0</v>
      </c>
      <c r="E87" s="935">
        <v>0</v>
      </c>
      <c r="F87" s="935">
        <v>0</v>
      </c>
      <c r="G87" s="935">
        <v>0</v>
      </c>
      <c r="H87" s="935">
        <v>0</v>
      </c>
      <c r="I87" s="935">
        <v>0</v>
      </c>
      <c r="J87" s="935">
        <v>0</v>
      </c>
      <c r="K87" s="935">
        <v>0</v>
      </c>
      <c r="L87" s="935">
        <v>0</v>
      </c>
      <c r="M87" s="935">
        <v>0</v>
      </c>
      <c r="N87" s="935">
        <v>0</v>
      </c>
      <c r="O87" s="935">
        <v>0</v>
      </c>
      <c r="P87" s="935">
        <v>0</v>
      </c>
      <c r="Q87" s="935">
        <f t="shared" si="16"/>
        <v>0</v>
      </c>
    </row>
    <row r="88" spans="1:20" hidden="1" x14ac:dyDescent="0.2">
      <c r="A88" s="2">
        <v>500</v>
      </c>
      <c r="B88" s="3" t="s">
        <v>144</v>
      </c>
      <c r="C88" s="935">
        <v>0</v>
      </c>
      <c r="D88" s="935">
        <v>0</v>
      </c>
      <c r="E88" s="935">
        <v>0</v>
      </c>
      <c r="F88" s="935">
        <v>0</v>
      </c>
      <c r="G88" s="935">
        <v>0</v>
      </c>
      <c r="H88" s="935">
        <v>0</v>
      </c>
      <c r="I88" s="935">
        <v>0</v>
      </c>
      <c r="J88" s="935">
        <v>0</v>
      </c>
      <c r="K88" s="935">
        <v>0</v>
      </c>
      <c r="L88" s="935">
        <v>0</v>
      </c>
      <c r="M88" s="935">
        <v>0</v>
      </c>
      <c r="N88" s="935">
        <v>0</v>
      </c>
      <c r="O88" s="935">
        <v>0</v>
      </c>
      <c r="P88" s="935">
        <v>0</v>
      </c>
      <c r="Q88" s="935">
        <f t="shared" si="16"/>
        <v>0</v>
      </c>
    </row>
    <row r="89" spans="1:20" x14ac:dyDescent="0.2">
      <c r="A89" s="2">
        <v>600</v>
      </c>
      <c r="B89" s="3" t="s">
        <v>145</v>
      </c>
      <c r="C89" s="935">
        <v>0</v>
      </c>
      <c r="D89" s="935">
        <v>0</v>
      </c>
      <c r="E89" s="935">
        <v>0</v>
      </c>
      <c r="F89" s="935">
        <v>0</v>
      </c>
      <c r="G89" s="935">
        <v>133669</v>
      </c>
      <c r="H89" s="935">
        <v>0</v>
      </c>
      <c r="I89" s="935">
        <v>0</v>
      </c>
      <c r="J89" s="935">
        <v>0</v>
      </c>
      <c r="K89" s="935">
        <v>0</v>
      </c>
      <c r="L89" s="935">
        <v>0</v>
      </c>
      <c r="M89" s="935">
        <v>0</v>
      </c>
      <c r="N89" s="935">
        <v>0</v>
      </c>
      <c r="O89" s="935">
        <v>0</v>
      </c>
      <c r="P89" s="935">
        <v>0</v>
      </c>
      <c r="Q89" s="935">
        <f t="shared" si="16"/>
        <v>133669</v>
      </c>
    </row>
    <row r="90" spans="1:20" x14ac:dyDescent="0.2">
      <c r="A90" s="2">
        <v>800</v>
      </c>
      <c r="B90" s="3" t="s">
        <v>146</v>
      </c>
      <c r="C90" s="935">
        <v>0</v>
      </c>
      <c r="D90" s="935">
        <v>0</v>
      </c>
      <c r="E90" s="935">
        <v>0</v>
      </c>
      <c r="F90" s="935">
        <v>16492</v>
      </c>
      <c r="G90" s="935">
        <v>83717</v>
      </c>
      <c r="H90" s="935">
        <v>0</v>
      </c>
      <c r="I90" s="935">
        <v>0</v>
      </c>
      <c r="J90" s="935">
        <v>0</v>
      </c>
      <c r="K90" s="935">
        <v>0</v>
      </c>
      <c r="L90" s="935">
        <v>0</v>
      </c>
      <c r="M90" s="935">
        <v>0</v>
      </c>
      <c r="N90" s="935">
        <v>0</v>
      </c>
      <c r="O90" s="935">
        <v>0</v>
      </c>
      <c r="P90" s="935">
        <v>0</v>
      </c>
      <c r="Q90" s="935">
        <f t="shared" si="16"/>
        <v>100209</v>
      </c>
    </row>
    <row r="91" spans="1:20" x14ac:dyDescent="0.2">
      <c r="A91" s="2">
        <v>910</v>
      </c>
      <c r="B91" s="3" t="s">
        <v>147</v>
      </c>
      <c r="C91" s="935">
        <v>124854</v>
      </c>
      <c r="D91" s="935">
        <v>0</v>
      </c>
      <c r="E91" s="935">
        <v>0</v>
      </c>
      <c r="F91" s="935">
        <v>0</v>
      </c>
      <c r="G91" s="935">
        <v>0</v>
      </c>
      <c r="H91" s="935">
        <v>12385</v>
      </c>
      <c r="I91" s="935">
        <v>0</v>
      </c>
      <c r="J91" s="935">
        <v>0</v>
      </c>
      <c r="K91" s="935">
        <v>0</v>
      </c>
      <c r="L91" s="935">
        <v>0</v>
      </c>
      <c r="M91" s="935">
        <v>0</v>
      </c>
      <c r="N91" s="935">
        <v>0</v>
      </c>
      <c r="O91" s="935">
        <v>0</v>
      </c>
      <c r="P91" s="935">
        <v>0</v>
      </c>
      <c r="Q91" s="935">
        <f t="shared" si="16"/>
        <v>137239</v>
      </c>
      <c r="T91"/>
    </row>
    <row r="92" spans="1:20" x14ac:dyDescent="0.2">
      <c r="A92" s="2">
        <v>920</v>
      </c>
      <c r="B92" s="3" t="s">
        <v>148</v>
      </c>
      <c r="C92" s="935">
        <v>655249</v>
      </c>
      <c r="D92" s="935">
        <v>0</v>
      </c>
      <c r="E92" s="935">
        <v>0</v>
      </c>
      <c r="F92" s="935">
        <v>0</v>
      </c>
      <c r="G92" s="935">
        <v>0</v>
      </c>
      <c r="H92" s="935">
        <v>0</v>
      </c>
      <c r="I92" s="935">
        <v>0</v>
      </c>
      <c r="J92" s="935">
        <v>0</v>
      </c>
      <c r="K92" s="935">
        <v>0</v>
      </c>
      <c r="L92" s="935">
        <v>0</v>
      </c>
      <c r="M92" s="935">
        <v>0</v>
      </c>
      <c r="N92" s="935">
        <v>0</v>
      </c>
      <c r="O92" s="935">
        <v>0</v>
      </c>
      <c r="P92" s="935">
        <v>0</v>
      </c>
      <c r="Q92" s="935">
        <f t="shared" si="16"/>
        <v>655249</v>
      </c>
      <c r="T92"/>
    </row>
    <row r="93" spans="1:20" x14ac:dyDescent="0.2">
      <c r="C93" s="935"/>
      <c r="D93" s="935"/>
      <c r="E93" s="935"/>
      <c r="F93" s="935"/>
      <c r="G93" s="935"/>
      <c r="H93" s="935"/>
      <c r="I93" s="935"/>
      <c r="J93" s="935"/>
      <c r="K93" s="935"/>
      <c r="L93" s="935"/>
      <c r="M93" s="935"/>
      <c r="N93" s="935"/>
      <c r="O93" s="935"/>
      <c r="P93" s="935"/>
      <c r="Q93" s="935">
        <f t="shared" si="16"/>
        <v>0</v>
      </c>
      <c r="T93"/>
    </row>
    <row r="94" spans="1:20" x14ac:dyDescent="0.2">
      <c r="A94" s="2" t="s">
        <v>149</v>
      </c>
      <c r="B94" s="2" t="s">
        <v>150</v>
      </c>
      <c r="C94" s="935"/>
      <c r="D94" s="935"/>
      <c r="E94" s="935"/>
      <c r="F94" s="935"/>
      <c r="G94" s="935"/>
      <c r="H94" s="935"/>
      <c r="I94" s="935"/>
      <c r="J94" s="935"/>
      <c r="K94" s="935"/>
      <c r="L94" s="935"/>
      <c r="M94" s="935"/>
      <c r="N94" s="935"/>
      <c r="O94" s="935"/>
      <c r="P94" s="935"/>
      <c r="Q94" s="935">
        <f t="shared" si="16"/>
        <v>0</v>
      </c>
      <c r="T94"/>
    </row>
    <row r="95" spans="1:20" x14ac:dyDescent="0.2">
      <c r="A95" s="2">
        <v>2100</v>
      </c>
      <c r="B95" s="3" t="s">
        <v>151</v>
      </c>
      <c r="C95" s="935">
        <v>1472167</v>
      </c>
      <c r="D95" s="935">
        <v>0</v>
      </c>
      <c r="E95" s="935">
        <v>0</v>
      </c>
      <c r="F95" s="935">
        <v>0</v>
      </c>
      <c r="G95" s="935">
        <v>380490</v>
      </c>
      <c r="H95" s="935">
        <v>0</v>
      </c>
      <c r="I95" s="935">
        <v>0</v>
      </c>
      <c r="J95" s="935">
        <v>0</v>
      </c>
      <c r="K95" s="935">
        <v>0</v>
      </c>
      <c r="L95" s="935">
        <v>0</v>
      </c>
      <c r="M95" s="935">
        <v>0</v>
      </c>
      <c r="N95" s="935">
        <v>0</v>
      </c>
      <c r="O95" s="935">
        <v>0</v>
      </c>
      <c r="P95" s="935">
        <v>0</v>
      </c>
      <c r="Q95" s="935">
        <f t="shared" si="16"/>
        <v>1852657</v>
      </c>
      <c r="T95"/>
    </row>
    <row r="96" spans="1:20" x14ac:dyDescent="0.2">
      <c r="A96" s="2">
        <v>2200</v>
      </c>
      <c r="B96" s="3" t="s">
        <v>152</v>
      </c>
      <c r="C96" s="935">
        <v>1055966</v>
      </c>
      <c r="D96" s="935">
        <v>0</v>
      </c>
      <c r="E96" s="935">
        <v>0</v>
      </c>
      <c r="F96" s="935">
        <v>4178</v>
      </c>
      <c r="G96" s="935">
        <v>526657</v>
      </c>
      <c r="H96" s="935">
        <v>0</v>
      </c>
      <c r="I96" s="935">
        <v>0</v>
      </c>
      <c r="J96" s="935">
        <v>0</v>
      </c>
      <c r="K96" s="935">
        <v>0</v>
      </c>
      <c r="L96" s="935">
        <v>0</v>
      </c>
      <c r="M96" s="935">
        <v>0</v>
      </c>
      <c r="N96" s="935">
        <v>0</v>
      </c>
      <c r="O96" s="935">
        <v>0</v>
      </c>
      <c r="P96" s="935">
        <v>0</v>
      </c>
      <c r="Q96" s="935">
        <f t="shared" si="16"/>
        <v>1586801</v>
      </c>
      <c r="T96"/>
    </row>
    <row r="97" spans="1:20" x14ac:dyDescent="0.2">
      <c r="A97" s="2">
        <v>2300</v>
      </c>
      <c r="B97" s="3" t="s">
        <v>153</v>
      </c>
      <c r="C97" s="935">
        <v>1370301</v>
      </c>
      <c r="D97" s="935">
        <v>0</v>
      </c>
      <c r="E97" s="935">
        <v>0</v>
      </c>
      <c r="F97" s="935">
        <v>24517</v>
      </c>
      <c r="G97" s="935">
        <v>0</v>
      </c>
      <c r="H97" s="935">
        <v>1282</v>
      </c>
      <c r="I97" s="935">
        <v>0</v>
      </c>
      <c r="J97" s="935">
        <v>75</v>
      </c>
      <c r="K97" s="935">
        <v>0</v>
      </c>
      <c r="L97" s="935">
        <v>0</v>
      </c>
      <c r="M97" s="935">
        <v>0</v>
      </c>
      <c r="N97" s="935">
        <v>0</v>
      </c>
      <c r="O97" s="935">
        <v>0</v>
      </c>
      <c r="P97" s="935">
        <v>0</v>
      </c>
      <c r="Q97" s="935">
        <f t="shared" si="16"/>
        <v>1396175</v>
      </c>
      <c r="T97"/>
    </row>
    <row r="98" spans="1:20" x14ac:dyDescent="0.2">
      <c r="A98" s="2">
        <v>2400</v>
      </c>
      <c r="B98" s="3" t="s">
        <v>154</v>
      </c>
      <c r="C98" s="935">
        <v>3172509</v>
      </c>
      <c r="D98" s="935">
        <v>0</v>
      </c>
      <c r="E98" s="935">
        <v>0</v>
      </c>
      <c r="F98" s="935">
        <v>92639</v>
      </c>
      <c r="G98" s="935">
        <v>0</v>
      </c>
      <c r="H98" s="935">
        <v>0</v>
      </c>
      <c r="I98" s="935">
        <v>0</v>
      </c>
      <c r="J98" s="935">
        <v>0</v>
      </c>
      <c r="K98" s="935">
        <v>0</v>
      </c>
      <c r="L98" s="935">
        <v>0</v>
      </c>
      <c r="M98" s="935">
        <v>0</v>
      </c>
      <c r="N98" s="935">
        <v>0</v>
      </c>
      <c r="O98" s="935">
        <v>0</v>
      </c>
      <c r="P98" s="935">
        <v>0</v>
      </c>
      <c r="Q98" s="935">
        <f t="shared" si="16"/>
        <v>3265148</v>
      </c>
      <c r="T98"/>
    </row>
    <row r="99" spans="1:20" x14ac:dyDescent="0.2">
      <c r="A99" s="2">
        <v>2500</v>
      </c>
      <c r="B99" s="3" t="s">
        <v>155</v>
      </c>
      <c r="C99" s="935">
        <v>715419</v>
      </c>
      <c r="D99" s="935">
        <v>0</v>
      </c>
      <c r="E99" s="935">
        <v>0</v>
      </c>
      <c r="F99" s="935">
        <v>133380</v>
      </c>
      <c r="G99" s="935">
        <v>0</v>
      </c>
      <c r="H99" s="935">
        <v>0</v>
      </c>
      <c r="I99" s="935">
        <v>0</v>
      </c>
      <c r="J99" s="935">
        <v>0</v>
      </c>
      <c r="K99" s="935">
        <v>0</v>
      </c>
      <c r="L99" s="935">
        <v>100000</v>
      </c>
      <c r="M99" s="935">
        <v>0</v>
      </c>
      <c r="N99" s="935">
        <v>0</v>
      </c>
      <c r="O99" s="935">
        <v>0</v>
      </c>
      <c r="P99" s="935">
        <v>0</v>
      </c>
      <c r="Q99" s="935">
        <f t="shared" si="16"/>
        <v>948799</v>
      </c>
      <c r="T99"/>
    </row>
    <row r="100" spans="1:20" x14ac:dyDescent="0.2">
      <c r="A100" s="2">
        <v>2600</v>
      </c>
      <c r="B100" s="3" t="s">
        <v>156</v>
      </c>
      <c r="C100" s="935">
        <v>4547201</v>
      </c>
      <c r="D100" s="935">
        <v>0</v>
      </c>
      <c r="E100" s="935">
        <v>0</v>
      </c>
      <c r="F100" s="935">
        <v>456481</v>
      </c>
      <c r="G100" s="935">
        <v>812452</v>
      </c>
      <c r="H100" s="935">
        <v>0</v>
      </c>
      <c r="I100" s="935">
        <v>0</v>
      </c>
      <c r="J100" s="935">
        <v>195427</v>
      </c>
      <c r="K100" s="935">
        <v>318629</v>
      </c>
      <c r="L100" s="935">
        <v>169814</v>
      </c>
      <c r="M100" s="935">
        <v>0</v>
      </c>
      <c r="N100" s="935">
        <v>0</v>
      </c>
      <c r="O100" s="935">
        <v>0</v>
      </c>
      <c r="P100" s="935">
        <v>0</v>
      </c>
      <c r="Q100" s="935">
        <f t="shared" si="16"/>
        <v>6500004</v>
      </c>
      <c r="T100"/>
    </row>
    <row r="101" spans="1:20" x14ac:dyDescent="0.2">
      <c r="A101" s="2">
        <v>2700</v>
      </c>
      <c r="B101" s="3" t="s">
        <v>157</v>
      </c>
      <c r="C101" s="935">
        <v>1782086</v>
      </c>
      <c r="D101" s="935">
        <v>0</v>
      </c>
      <c r="E101" s="935">
        <v>0</v>
      </c>
      <c r="F101" s="935">
        <v>555072</v>
      </c>
      <c r="G101" s="935">
        <v>0</v>
      </c>
      <c r="H101" s="935">
        <v>0</v>
      </c>
      <c r="I101" s="935">
        <v>0</v>
      </c>
      <c r="J101" s="935">
        <v>0</v>
      </c>
      <c r="K101" s="935">
        <v>19037</v>
      </c>
      <c r="L101" s="935">
        <v>0</v>
      </c>
      <c r="M101" s="935">
        <v>0</v>
      </c>
      <c r="N101" s="935">
        <v>0</v>
      </c>
      <c r="O101" s="935">
        <v>0</v>
      </c>
      <c r="P101" s="935">
        <v>0</v>
      </c>
      <c r="Q101" s="935">
        <f t="shared" si="16"/>
        <v>2356195</v>
      </c>
      <c r="T101"/>
    </row>
    <row r="102" spans="1:20" x14ac:dyDescent="0.2">
      <c r="A102" s="2">
        <v>2900</v>
      </c>
      <c r="B102" s="3" t="s">
        <v>158</v>
      </c>
      <c r="C102" s="935">
        <v>0</v>
      </c>
      <c r="D102" s="935">
        <v>0</v>
      </c>
      <c r="E102" s="935">
        <v>0</v>
      </c>
      <c r="F102" s="935">
        <v>0</v>
      </c>
      <c r="G102" s="935">
        <v>0</v>
      </c>
      <c r="H102" s="935">
        <v>0</v>
      </c>
      <c r="I102" s="935">
        <v>0</v>
      </c>
      <c r="J102" s="935">
        <v>0</v>
      </c>
      <c r="K102" s="935">
        <v>0</v>
      </c>
      <c r="L102" s="935">
        <v>0</v>
      </c>
      <c r="M102" s="935">
        <v>9000</v>
      </c>
      <c r="N102" s="935">
        <v>0</v>
      </c>
      <c r="O102" s="935">
        <v>0</v>
      </c>
      <c r="P102" s="935">
        <v>0</v>
      </c>
      <c r="Q102" s="935">
        <f t="shared" si="16"/>
        <v>9000</v>
      </c>
      <c r="T102"/>
    </row>
    <row r="103" spans="1:20" hidden="1" x14ac:dyDescent="0.2">
      <c r="A103" s="2">
        <v>3000</v>
      </c>
      <c r="B103" s="3" t="s">
        <v>159</v>
      </c>
      <c r="C103" s="935">
        <v>0</v>
      </c>
      <c r="D103" s="935">
        <v>0</v>
      </c>
      <c r="E103" s="935">
        <v>0</v>
      </c>
      <c r="F103" s="935">
        <v>0</v>
      </c>
      <c r="G103" s="935">
        <v>0</v>
      </c>
      <c r="H103" s="935">
        <v>0</v>
      </c>
      <c r="I103" s="935">
        <v>0</v>
      </c>
      <c r="J103" s="935">
        <v>0</v>
      </c>
      <c r="K103" s="935">
        <v>0</v>
      </c>
      <c r="L103" s="935">
        <v>0</v>
      </c>
      <c r="M103" s="935">
        <v>0</v>
      </c>
      <c r="N103" s="935">
        <v>0</v>
      </c>
      <c r="O103" s="935">
        <v>0</v>
      </c>
      <c r="P103" s="935">
        <v>0</v>
      </c>
      <c r="Q103" s="935">
        <f t="shared" si="16"/>
        <v>0</v>
      </c>
    </row>
    <row r="104" spans="1:20" x14ac:dyDescent="0.2">
      <c r="A104" s="2">
        <v>3100</v>
      </c>
      <c r="B104" s="3" t="s">
        <v>160</v>
      </c>
      <c r="C104" s="935">
        <v>0</v>
      </c>
      <c r="D104" s="935">
        <v>0</v>
      </c>
      <c r="E104" s="935">
        <v>0</v>
      </c>
      <c r="F104" s="935">
        <v>0</v>
      </c>
      <c r="G104" s="935">
        <v>0</v>
      </c>
      <c r="H104" s="935">
        <v>0</v>
      </c>
      <c r="I104" s="935">
        <v>1178045</v>
      </c>
      <c r="J104" s="935">
        <v>0</v>
      </c>
      <c r="K104" s="935">
        <v>0</v>
      </c>
      <c r="L104" s="935">
        <v>0</v>
      </c>
      <c r="M104" s="935">
        <v>0</v>
      </c>
      <c r="N104" s="935">
        <v>0</v>
      </c>
      <c r="O104" s="935">
        <v>0</v>
      </c>
      <c r="P104" s="935">
        <v>-62979</v>
      </c>
      <c r="Q104" s="935">
        <f t="shared" si="16"/>
        <v>1115066</v>
      </c>
    </row>
    <row r="105" spans="1:20" hidden="1" x14ac:dyDescent="0.2">
      <c r="A105" s="2">
        <v>3200</v>
      </c>
      <c r="B105" s="3" t="s">
        <v>161</v>
      </c>
      <c r="C105" s="935">
        <v>0</v>
      </c>
      <c r="D105" s="935">
        <v>0</v>
      </c>
      <c r="E105" s="935">
        <v>0</v>
      </c>
      <c r="F105" s="935">
        <v>0</v>
      </c>
      <c r="G105" s="935">
        <v>0</v>
      </c>
      <c r="H105" s="935">
        <v>0</v>
      </c>
      <c r="I105" s="935">
        <v>0</v>
      </c>
      <c r="J105" s="935">
        <v>0</v>
      </c>
      <c r="K105" s="935">
        <v>0</v>
      </c>
      <c r="L105" s="935">
        <v>0</v>
      </c>
      <c r="M105" s="935">
        <v>0</v>
      </c>
      <c r="N105" s="935">
        <v>0</v>
      </c>
      <c r="O105" s="935">
        <v>0</v>
      </c>
      <c r="P105" s="935">
        <v>0</v>
      </c>
      <c r="Q105" s="935">
        <f t="shared" si="16"/>
        <v>0</v>
      </c>
    </row>
    <row r="106" spans="1:20" hidden="1" x14ac:dyDescent="0.2">
      <c r="A106" s="2">
        <v>3300</v>
      </c>
      <c r="B106" s="3" t="s">
        <v>162</v>
      </c>
      <c r="C106" s="935">
        <v>0</v>
      </c>
      <c r="D106" s="935">
        <v>0</v>
      </c>
      <c r="E106" s="935">
        <v>0</v>
      </c>
      <c r="F106" s="935">
        <v>0</v>
      </c>
      <c r="G106" s="935">
        <v>0</v>
      </c>
      <c r="H106" s="935">
        <v>0</v>
      </c>
      <c r="I106" s="935">
        <v>0</v>
      </c>
      <c r="J106" s="935">
        <v>0</v>
      </c>
      <c r="K106" s="935">
        <v>0</v>
      </c>
      <c r="L106" s="935">
        <v>0</v>
      </c>
      <c r="M106" s="935">
        <v>0</v>
      </c>
      <c r="N106" s="935">
        <v>0</v>
      </c>
      <c r="O106" s="935">
        <v>0</v>
      </c>
      <c r="P106" s="935">
        <v>0</v>
      </c>
      <c r="Q106" s="935">
        <f t="shared" si="16"/>
        <v>0</v>
      </c>
    </row>
    <row r="107" spans="1:20" hidden="1" x14ac:dyDescent="0.2">
      <c r="A107" s="2">
        <v>4000</v>
      </c>
      <c r="B107" s="3" t="s">
        <v>164</v>
      </c>
      <c r="C107" s="935">
        <v>0</v>
      </c>
      <c r="D107" s="935">
        <v>0</v>
      </c>
      <c r="E107" s="935">
        <v>0</v>
      </c>
      <c r="F107" s="935">
        <v>0</v>
      </c>
      <c r="G107" s="935">
        <v>0</v>
      </c>
      <c r="H107" s="935">
        <v>0</v>
      </c>
      <c r="I107" s="935">
        <v>0</v>
      </c>
      <c r="J107" s="935">
        <v>0</v>
      </c>
      <c r="K107" s="935">
        <v>0</v>
      </c>
      <c r="L107" s="935">
        <v>0</v>
      </c>
      <c r="M107" s="935">
        <v>0</v>
      </c>
      <c r="N107" s="935">
        <v>0</v>
      </c>
      <c r="O107" s="935">
        <v>0</v>
      </c>
      <c r="P107" s="935">
        <v>0</v>
      </c>
      <c r="Q107" s="935">
        <f t="shared" si="16"/>
        <v>0</v>
      </c>
    </row>
    <row r="108" spans="1:20" hidden="1" x14ac:dyDescent="0.2">
      <c r="A108" s="2">
        <v>4100</v>
      </c>
      <c r="B108" s="3" t="s">
        <v>163</v>
      </c>
      <c r="C108" s="935">
        <v>0</v>
      </c>
      <c r="D108" s="935">
        <v>0</v>
      </c>
      <c r="E108" s="935">
        <v>0</v>
      </c>
      <c r="F108" s="935">
        <v>0</v>
      </c>
      <c r="G108" s="935">
        <v>0</v>
      </c>
      <c r="H108" s="935">
        <v>0</v>
      </c>
      <c r="I108" s="935">
        <v>0</v>
      </c>
      <c r="J108" s="935">
        <v>0</v>
      </c>
      <c r="K108" s="935">
        <v>0</v>
      </c>
      <c r="L108" s="935">
        <v>0</v>
      </c>
      <c r="M108" s="935">
        <v>0</v>
      </c>
      <c r="N108" s="935">
        <v>0</v>
      </c>
      <c r="O108" s="935">
        <v>0</v>
      </c>
      <c r="P108" s="935">
        <v>0</v>
      </c>
      <c r="Q108" s="935">
        <f t="shared" si="16"/>
        <v>0</v>
      </c>
    </row>
    <row r="109" spans="1:20" hidden="1" x14ac:dyDescent="0.2">
      <c r="A109" s="2">
        <v>4200</v>
      </c>
      <c r="B109" s="3" t="s">
        <v>165</v>
      </c>
      <c r="C109" s="935">
        <v>0</v>
      </c>
      <c r="D109" s="935">
        <v>0</v>
      </c>
      <c r="E109" s="935">
        <v>0</v>
      </c>
      <c r="F109" s="935">
        <v>0</v>
      </c>
      <c r="G109" s="935">
        <v>0</v>
      </c>
      <c r="H109" s="935">
        <v>0</v>
      </c>
      <c r="I109" s="935">
        <v>0</v>
      </c>
      <c r="J109" s="935">
        <v>0</v>
      </c>
      <c r="K109" s="935">
        <v>0</v>
      </c>
      <c r="L109" s="935">
        <v>0</v>
      </c>
      <c r="M109" s="935">
        <v>0</v>
      </c>
      <c r="N109" s="935">
        <v>0</v>
      </c>
      <c r="O109" s="935">
        <v>0</v>
      </c>
      <c r="P109" s="935">
        <v>0</v>
      </c>
      <c r="Q109" s="935">
        <f t="shared" si="16"/>
        <v>0</v>
      </c>
    </row>
    <row r="110" spans="1:20" x14ac:dyDescent="0.2">
      <c r="A110" s="2">
        <v>4300</v>
      </c>
      <c r="B110" s="3" t="s">
        <v>166</v>
      </c>
      <c r="C110" s="935">
        <v>0</v>
      </c>
      <c r="D110" s="935">
        <v>0</v>
      </c>
      <c r="E110" s="935">
        <v>0</v>
      </c>
      <c r="F110" s="935">
        <v>0</v>
      </c>
      <c r="G110" s="935">
        <v>0</v>
      </c>
      <c r="H110" s="935">
        <v>0</v>
      </c>
      <c r="I110" s="935">
        <v>0</v>
      </c>
      <c r="J110" s="935">
        <v>0</v>
      </c>
      <c r="K110" s="935">
        <v>0</v>
      </c>
      <c r="L110" s="935">
        <v>45000</v>
      </c>
      <c r="M110" s="935">
        <v>0</v>
      </c>
      <c r="N110" s="935">
        <v>0</v>
      </c>
      <c r="O110" s="935">
        <v>0</v>
      </c>
      <c r="P110" s="935">
        <v>0</v>
      </c>
      <c r="Q110" s="935">
        <f t="shared" si="16"/>
        <v>45000</v>
      </c>
    </row>
    <row r="111" spans="1:20" hidden="1" x14ac:dyDescent="0.2">
      <c r="A111" s="2">
        <v>4400</v>
      </c>
      <c r="B111" s="3" t="s">
        <v>167</v>
      </c>
      <c r="C111" s="935">
        <v>0</v>
      </c>
      <c r="D111" s="935">
        <v>0</v>
      </c>
      <c r="E111" s="935">
        <v>0</v>
      </c>
      <c r="F111" s="935">
        <v>0</v>
      </c>
      <c r="G111" s="935">
        <v>0</v>
      </c>
      <c r="H111" s="935">
        <v>0</v>
      </c>
      <c r="I111" s="935">
        <v>0</v>
      </c>
      <c r="J111" s="935">
        <v>0</v>
      </c>
      <c r="K111" s="935">
        <v>0</v>
      </c>
      <c r="L111" s="935">
        <v>0</v>
      </c>
      <c r="M111" s="935">
        <v>0</v>
      </c>
      <c r="N111" s="935">
        <v>0</v>
      </c>
      <c r="O111" s="935">
        <v>0</v>
      </c>
      <c r="P111" s="935">
        <v>0</v>
      </c>
      <c r="Q111" s="935">
        <f t="shared" si="16"/>
        <v>0</v>
      </c>
    </row>
    <row r="112" spans="1:20" hidden="1" x14ac:dyDescent="0.2">
      <c r="A112" s="2">
        <v>4500</v>
      </c>
      <c r="B112" s="3" t="s">
        <v>168</v>
      </c>
      <c r="C112" s="935">
        <v>0</v>
      </c>
      <c r="D112" s="935">
        <v>0</v>
      </c>
      <c r="E112" s="935">
        <v>0</v>
      </c>
      <c r="F112" s="935">
        <v>0</v>
      </c>
      <c r="G112" s="935">
        <v>0</v>
      </c>
      <c r="H112" s="935">
        <v>0</v>
      </c>
      <c r="I112" s="935">
        <v>0</v>
      </c>
      <c r="J112" s="935">
        <v>0</v>
      </c>
      <c r="K112" s="935">
        <v>0</v>
      </c>
      <c r="L112" s="935">
        <v>0</v>
      </c>
      <c r="M112" s="935">
        <v>0</v>
      </c>
      <c r="N112" s="935">
        <v>0</v>
      </c>
      <c r="O112" s="935">
        <v>0</v>
      </c>
      <c r="P112" s="935">
        <v>0</v>
      </c>
      <c r="Q112" s="935">
        <f t="shared" si="16"/>
        <v>0</v>
      </c>
    </row>
    <row r="113" spans="1:20" hidden="1" x14ac:dyDescent="0.2">
      <c r="A113" s="2">
        <v>4600</v>
      </c>
      <c r="B113" s="3" t="s">
        <v>169</v>
      </c>
      <c r="C113" s="935">
        <v>0</v>
      </c>
      <c r="D113" s="935">
        <v>0</v>
      </c>
      <c r="E113" s="935">
        <v>0</v>
      </c>
      <c r="F113" s="935">
        <v>0</v>
      </c>
      <c r="G113" s="935">
        <v>0</v>
      </c>
      <c r="H113" s="935">
        <v>0</v>
      </c>
      <c r="I113" s="935">
        <v>0</v>
      </c>
      <c r="J113" s="935">
        <v>0</v>
      </c>
      <c r="K113" s="935">
        <v>0</v>
      </c>
      <c r="L113" s="935">
        <v>0</v>
      </c>
      <c r="M113" s="935">
        <v>0</v>
      </c>
      <c r="N113" s="935">
        <v>0</v>
      </c>
      <c r="O113" s="935">
        <v>0</v>
      </c>
      <c r="P113" s="935">
        <v>0</v>
      </c>
      <c r="Q113" s="935">
        <f t="shared" si="16"/>
        <v>0</v>
      </c>
    </row>
    <row r="114" spans="1:20" x14ac:dyDescent="0.2">
      <c r="A114" s="2">
        <v>4700</v>
      </c>
      <c r="B114" s="3" t="s">
        <v>170</v>
      </c>
      <c r="C114" s="935">
        <v>0</v>
      </c>
      <c r="D114" s="935">
        <v>0</v>
      </c>
      <c r="E114" s="935">
        <v>0</v>
      </c>
      <c r="F114" s="935">
        <v>0</v>
      </c>
      <c r="G114" s="935">
        <v>0</v>
      </c>
      <c r="H114" s="935">
        <v>0</v>
      </c>
      <c r="I114" s="935">
        <v>0</v>
      </c>
      <c r="J114" s="935">
        <v>134047</v>
      </c>
      <c r="K114" s="935">
        <v>35000</v>
      </c>
      <c r="L114" s="935">
        <v>1643724</v>
      </c>
      <c r="M114" s="935">
        <v>0</v>
      </c>
      <c r="N114" s="935">
        <v>0</v>
      </c>
      <c r="O114" s="935">
        <v>0</v>
      </c>
      <c r="P114" s="935">
        <v>0</v>
      </c>
      <c r="Q114" s="935">
        <f t="shared" si="16"/>
        <v>1812771</v>
      </c>
    </row>
    <row r="115" spans="1:20" hidden="1" x14ac:dyDescent="0.2">
      <c r="A115" s="2">
        <v>4900</v>
      </c>
      <c r="B115" s="3" t="s">
        <v>171</v>
      </c>
      <c r="C115" s="935">
        <v>0</v>
      </c>
      <c r="D115" s="935">
        <v>0</v>
      </c>
      <c r="E115" s="935">
        <v>0</v>
      </c>
      <c r="F115" s="935">
        <v>0</v>
      </c>
      <c r="G115" s="935">
        <v>0</v>
      </c>
      <c r="H115" s="935">
        <v>0</v>
      </c>
      <c r="I115" s="935">
        <v>0</v>
      </c>
      <c r="J115" s="935">
        <v>0</v>
      </c>
      <c r="K115" s="935">
        <v>0</v>
      </c>
      <c r="L115" s="935">
        <v>0</v>
      </c>
      <c r="M115" s="935">
        <v>0</v>
      </c>
      <c r="N115" s="935">
        <v>0</v>
      </c>
      <c r="O115" s="935">
        <v>0</v>
      </c>
      <c r="P115" s="935">
        <v>0</v>
      </c>
      <c r="Q115" s="935">
        <f t="shared" si="16"/>
        <v>0</v>
      </c>
    </row>
    <row r="116" spans="1:20" x14ac:dyDescent="0.2">
      <c r="A116" s="2">
        <v>5000</v>
      </c>
      <c r="B116" s="3" t="s">
        <v>172</v>
      </c>
      <c r="C116" s="935">
        <v>2622343</v>
      </c>
      <c r="D116" s="935">
        <v>225660</v>
      </c>
      <c r="E116" s="935">
        <v>0</v>
      </c>
      <c r="F116" s="935">
        <v>0</v>
      </c>
      <c r="G116" s="935">
        <v>0</v>
      </c>
      <c r="H116" s="935">
        <v>0</v>
      </c>
      <c r="I116" s="935">
        <v>0</v>
      </c>
      <c r="J116" s="935">
        <v>0</v>
      </c>
      <c r="K116" s="935">
        <v>0</v>
      </c>
      <c r="L116" s="935">
        <v>0</v>
      </c>
      <c r="M116" s="935">
        <v>0</v>
      </c>
      <c r="N116" s="935">
        <v>0</v>
      </c>
      <c r="O116" s="935">
        <v>0</v>
      </c>
      <c r="P116" s="935">
        <v>0</v>
      </c>
      <c r="Q116" s="935">
        <f t="shared" si="16"/>
        <v>2848003</v>
      </c>
    </row>
    <row r="117" spans="1:20" hidden="1" x14ac:dyDescent="0.2">
      <c r="A117" s="2">
        <v>5000</v>
      </c>
      <c r="B117" s="3" t="s">
        <v>173</v>
      </c>
      <c r="C117" s="935">
        <v>0</v>
      </c>
      <c r="D117" s="935">
        <v>0</v>
      </c>
      <c r="E117" s="935">
        <v>0</v>
      </c>
      <c r="F117" s="935">
        <v>0</v>
      </c>
      <c r="G117" s="935">
        <v>0</v>
      </c>
      <c r="H117" s="935">
        <v>0</v>
      </c>
      <c r="I117" s="935">
        <v>0</v>
      </c>
      <c r="J117" s="935">
        <v>0</v>
      </c>
      <c r="K117" s="935">
        <v>0</v>
      </c>
      <c r="L117" s="935">
        <v>0</v>
      </c>
      <c r="M117" s="935">
        <v>0</v>
      </c>
      <c r="N117" s="935">
        <v>0</v>
      </c>
      <c r="O117" s="935">
        <v>0</v>
      </c>
      <c r="P117" s="935">
        <v>0</v>
      </c>
      <c r="Q117" s="935">
        <f t="shared" si="16"/>
        <v>0</v>
      </c>
    </row>
    <row r="118" spans="1:20" hidden="1" x14ac:dyDescent="0.2">
      <c r="A118" s="2">
        <v>6100</v>
      </c>
      <c r="B118" s="3" t="s">
        <v>638</v>
      </c>
      <c r="C118" s="935">
        <v>0</v>
      </c>
      <c r="D118" s="935">
        <v>0</v>
      </c>
      <c r="E118" s="935">
        <v>0</v>
      </c>
      <c r="F118" s="935">
        <v>0</v>
      </c>
      <c r="G118" s="935">
        <v>0</v>
      </c>
      <c r="H118" s="935">
        <v>0</v>
      </c>
      <c r="I118" s="935">
        <v>0</v>
      </c>
      <c r="J118" s="935">
        <v>0</v>
      </c>
      <c r="K118" s="935">
        <v>0</v>
      </c>
      <c r="L118" s="935">
        <v>0</v>
      </c>
      <c r="M118" s="935">
        <v>0</v>
      </c>
      <c r="N118" s="935">
        <v>0</v>
      </c>
      <c r="O118" s="935">
        <v>0</v>
      </c>
      <c r="P118" s="935">
        <v>0</v>
      </c>
      <c r="Q118" s="935">
        <f t="shared" si="16"/>
        <v>0</v>
      </c>
    </row>
    <row r="119" spans="1:20" x14ac:dyDescent="0.2">
      <c r="A119" s="2">
        <v>6200</v>
      </c>
      <c r="B119" s="3" t="s">
        <v>175</v>
      </c>
      <c r="C119" s="935">
        <v>0</v>
      </c>
      <c r="D119" s="935">
        <v>1874441</v>
      </c>
      <c r="E119" s="935">
        <v>0</v>
      </c>
      <c r="F119" s="935">
        <v>0</v>
      </c>
      <c r="G119" s="935">
        <v>0</v>
      </c>
      <c r="H119" s="935">
        <v>0</v>
      </c>
      <c r="I119" s="935">
        <v>0</v>
      </c>
      <c r="J119" s="935">
        <v>0</v>
      </c>
      <c r="K119" s="935">
        <v>0</v>
      </c>
      <c r="L119" s="935">
        <v>0</v>
      </c>
      <c r="M119" s="935">
        <v>0</v>
      </c>
      <c r="N119" s="935">
        <v>0</v>
      </c>
      <c r="O119" s="935">
        <v>0</v>
      </c>
      <c r="P119" s="935">
        <v>0</v>
      </c>
      <c r="Q119" s="935">
        <f t="shared" si="16"/>
        <v>1874441</v>
      </c>
    </row>
    <row r="120" spans="1:20" hidden="1" x14ac:dyDescent="0.2">
      <c r="A120" s="2">
        <v>6300</v>
      </c>
      <c r="B120" s="3" t="s">
        <v>176</v>
      </c>
      <c r="C120" s="935">
        <v>0</v>
      </c>
      <c r="D120" s="935">
        <v>0</v>
      </c>
      <c r="E120" s="935">
        <v>0</v>
      </c>
      <c r="F120" s="935">
        <v>0</v>
      </c>
      <c r="G120" s="935">
        <v>0</v>
      </c>
      <c r="H120" s="935">
        <v>0</v>
      </c>
      <c r="I120" s="935">
        <v>0</v>
      </c>
      <c r="J120" s="935">
        <v>0</v>
      </c>
      <c r="K120" s="935">
        <v>0</v>
      </c>
      <c r="L120" s="935">
        <v>0</v>
      </c>
      <c r="M120" s="935">
        <v>0</v>
      </c>
      <c r="N120" s="935">
        <v>0</v>
      </c>
      <c r="O120" s="935">
        <v>0</v>
      </c>
      <c r="P120" s="935">
        <v>0</v>
      </c>
      <c r="Q120" s="935">
        <f t="shared" si="16"/>
        <v>0</v>
      </c>
    </row>
    <row r="121" spans="1:20" x14ac:dyDescent="0.2">
      <c r="A121" s="2">
        <v>8000</v>
      </c>
      <c r="B121" s="3" t="s">
        <v>177</v>
      </c>
      <c r="C121" s="935">
        <v>2451637</v>
      </c>
      <c r="D121" s="935">
        <v>482624</v>
      </c>
      <c r="E121" s="935">
        <v>0</v>
      </c>
      <c r="F121" s="935">
        <v>0</v>
      </c>
      <c r="G121" s="935">
        <v>0</v>
      </c>
      <c r="H121" s="935">
        <v>0</v>
      </c>
      <c r="I121" s="935">
        <v>0</v>
      </c>
      <c r="J121" s="935">
        <v>268267</v>
      </c>
      <c r="K121" s="935">
        <v>75000</v>
      </c>
      <c r="L121" s="935">
        <v>10000</v>
      </c>
      <c r="M121" s="935">
        <v>84015</v>
      </c>
      <c r="N121" s="935">
        <v>1347049</v>
      </c>
      <c r="O121" s="935">
        <v>72018</v>
      </c>
      <c r="P121" s="935">
        <v>0</v>
      </c>
      <c r="Q121" s="935">
        <f t="shared" si="16"/>
        <v>4790610</v>
      </c>
    </row>
    <row r="122" spans="1:20" x14ac:dyDescent="0.2">
      <c r="C122" s="935"/>
      <c r="D122" s="935"/>
      <c r="E122" s="935"/>
      <c r="F122" s="935"/>
      <c r="G122" s="935"/>
      <c r="H122" s="935"/>
      <c r="I122" s="935"/>
      <c r="J122" s="935"/>
      <c r="K122" s="935"/>
      <c r="L122" s="935"/>
      <c r="M122" s="935"/>
      <c r="N122" s="935"/>
      <c r="O122" s="935"/>
      <c r="P122" s="935"/>
      <c r="Q122" s="935"/>
    </row>
    <row r="123" spans="1:20" s="2" customFormat="1" x14ac:dyDescent="0.2">
      <c r="A123" s="53"/>
      <c r="B123" s="2" t="s">
        <v>308</v>
      </c>
      <c r="C123" s="931"/>
      <c r="D123" s="931"/>
      <c r="E123" s="931"/>
      <c r="F123" s="931"/>
      <c r="G123" s="931"/>
      <c r="H123" s="931"/>
      <c r="I123" s="931"/>
      <c r="J123" s="931"/>
      <c r="K123" s="931"/>
      <c r="L123" s="931"/>
      <c r="M123" s="931"/>
      <c r="N123" s="931"/>
      <c r="O123" s="931"/>
      <c r="P123" s="931"/>
      <c r="Q123" s="931"/>
      <c r="T123" s="53"/>
    </row>
    <row r="124" spans="1:20" hidden="1" x14ac:dyDescent="0.2">
      <c r="B124" s="3" t="s">
        <v>179</v>
      </c>
      <c r="C124" s="935">
        <v>0</v>
      </c>
      <c r="D124" s="935">
        <v>0</v>
      </c>
      <c r="E124" s="935">
        <v>0</v>
      </c>
      <c r="F124" s="935">
        <v>0</v>
      </c>
      <c r="G124" s="935">
        <v>0</v>
      </c>
      <c r="H124" s="935">
        <v>0</v>
      </c>
      <c r="I124" s="935">
        <v>0</v>
      </c>
      <c r="J124" s="935">
        <v>0</v>
      </c>
      <c r="K124" s="935">
        <v>0</v>
      </c>
      <c r="L124" s="935">
        <v>0</v>
      </c>
      <c r="M124" s="935">
        <v>0</v>
      </c>
      <c r="N124" s="935">
        <v>0</v>
      </c>
      <c r="O124" s="935">
        <v>0</v>
      </c>
      <c r="P124" s="935">
        <v>0</v>
      </c>
      <c r="Q124" s="935">
        <f t="shared" ref="Q124:Q187" si="17">SUM(C124:P124)</f>
        <v>0</v>
      </c>
    </row>
    <row r="125" spans="1:20" hidden="1" x14ac:dyDescent="0.2">
      <c r="B125" s="3" t="s">
        <v>145</v>
      </c>
      <c r="C125" s="935">
        <v>0</v>
      </c>
      <c r="D125" s="935">
        <v>0</v>
      </c>
      <c r="E125" s="935">
        <v>0</v>
      </c>
      <c r="F125" s="935">
        <v>0</v>
      </c>
      <c r="G125" s="935">
        <v>0</v>
      </c>
      <c r="H125" s="935">
        <v>0</v>
      </c>
      <c r="I125" s="935">
        <v>0</v>
      </c>
      <c r="J125" s="935">
        <v>0</v>
      </c>
      <c r="K125" s="935">
        <v>0</v>
      </c>
      <c r="L125" s="935">
        <v>0</v>
      </c>
      <c r="M125" s="935">
        <v>0</v>
      </c>
      <c r="N125" s="935">
        <v>0</v>
      </c>
      <c r="O125" s="935">
        <v>0</v>
      </c>
      <c r="P125" s="935">
        <v>0</v>
      </c>
      <c r="Q125" s="935">
        <f t="shared" si="17"/>
        <v>0</v>
      </c>
    </row>
    <row r="126" spans="1:20" hidden="1" x14ac:dyDescent="0.2">
      <c r="B126" s="3" t="s">
        <v>180</v>
      </c>
      <c r="C126" s="935">
        <v>0</v>
      </c>
      <c r="D126" s="935">
        <v>0</v>
      </c>
      <c r="E126" s="935">
        <v>0</v>
      </c>
      <c r="F126" s="935">
        <v>0</v>
      </c>
      <c r="G126" s="935">
        <v>0</v>
      </c>
      <c r="H126" s="935">
        <v>0</v>
      </c>
      <c r="I126" s="935">
        <v>0</v>
      </c>
      <c r="J126" s="935">
        <v>0</v>
      </c>
      <c r="K126" s="935">
        <v>0</v>
      </c>
      <c r="L126" s="935">
        <v>0</v>
      </c>
      <c r="M126" s="935">
        <v>0</v>
      </c>
      <c r="N126" s="935">
        <v>0</v>
      </c>
      <c r="O126" s="935">
        <v>0</v>
      </c>
      <c r="P126" s="935">
        <v>0</v>
      </c>
      <c r="Q126" s="935">
        <f t="shared" si="17"/>
        <v>0</v>
      </c>
    </row>
    <row r="127" spans="1:20" hidden="1" x14ac:dyDescent="0.2">
      <c r="B127" s="3" t="s">
        <v>181</v>
      </c>
      <c r="C127" s="935">
        <v>0</v>
      </c>
      <c r="D127" s="935">
        <v>0</v>
      </c>
      <c r="E127" s="935">
        <v>0</v>
      </c>
      <c r="F127" s="935">
        <v>0</v>
      </c>
      <c r="G127" s="935">
        <v>0</v>
      </c>
      <c r="H127" s="935">
        <v>0</v>
      </c>
      <c r="I127" s="935">
        <v>0</v>
      </c>
      <c r="J127" s="935">
        <v>0</v>
      </c>
      <c r="K127" s="935">
        <v>0</v>
      </c>
      <c r="L127" s="935">
        <v>0</v>
      </c>
      <c r="M127" s="935">
        <v>0</v>
      </c>
      <c r="N127" s="935">
        <v>0</v>
      </c>
      <c r="O127" s="935">
        <v>0</v>
      </c>
      <c r="P127" s="935">
        <v>0</v>
      </c>
      <c r="Q127" s="935">
        <f t="shared" si="17"/>
        <v>0</v>
      </c>
    </row>
    <row r="128" spans="1:20" hidden="1" x14ac:dyDescent="0.2">
      <c r="B128" s="3" t="s">
        <v>182</v>
      </c>
      <c r="C128" s="935">
        <v>0</v>
      </c>
      <c r="D128" s="935">
        <v>0</v>
      </c>
      <c r="E128" s="935">
        <v>0</v>
      </c>
      <c r="F128" s="935">
        <v>0</v>
      </c>
      <c r="G128" s="935">
        <v>0</v>
      </c>
      <c r="H128" s="935">
        <v>0</v>
      </c>
      <c r="I128" s="935">
        <v>0</v>
      </c>
      <c r="J128" s="935">
        <v>0</v>
      </c>
      <c r="K128" s="935">
        <v>0</v>
      </c>
      <c r="L128" s="935">
        <v>0</v>
      </c>
      <c r="M128" s="935">
        <v>0</v>
      </c>
      <c r="N128" s="935">
        <v>0</v>
      </c>
      <c r="O128" s="935">
        <v>0</v>
      </c>
      <c r="P128" s="935">
        <v>0</v>
      </c>
      <c r="Q128" s="935">
        <f t="shared" si="17"/>
        <v>0</v>
      </c>
    </row>
    <row r="129" spans="2:17" hidden="1" x14ac:dyDescent="0.2">
      <c r="B129" s="3" t="s">
        <v>183</v>
      </c>
      <c r="C129" s="935">
        <v>0</v>
      </c>
      <c r="D129" s="935">
        <v>0</v>
      </c>
      <c r="E129" s="935">
        <v>0</v>
      </c>
      <c r="F129" s="935">
        <v>0</v>
      </c>
      <c r="G129" s="935">
        <v>0</v>
      </c>
      <c r="H129" s="935">
        <v>0</v>
      </c>
      <c r="I129" s="935">
        <v>0</v>
      </c>
      <c r="J129" s="935">
        <v>0</v>
      </c>
      <c r="K129" s="935">
        <v>0</v>
      </c>
      <c r="L129" s="935">
        <v>0</v>
      </c>
      <c r="M129" s="935">
        <v>0</v>
      </c>
      <c r="N129" s="935">
        <v>0</v>
      </c>
      <c r="O129" s="935">
        <v>0</v>
      </c>
      <c r="P129" s="935">
        <v>0</v>
      </c>
      <c r="Q129" s="935">
        <f t="shared" si="17"/>
        <v>0</v>
      </c>
    </row>
    <row r="130" spans="2:17" hidden="1" x14ac:dyDescent="0.2">
      <c r="B130" s="3" t="s">
        <v>184</v>
      </c>
      <c r="C130" s="935">
        <v>0</v>
      </c>
      <c r="D130" s="935">
        <v>0</v>
      </c>
      <c r="E130" s="935">
        <v>0</v>
      </c>
      <c r="F130" s="935">
        <v>0</v>
      </c>
      <c r="G130" s="935">
        <v>0</v>
      </c>
      <c r="H130" s="935">
        <v>0</v>
      </c>
      <c r="I130" s="935">
        <v>0</v>
      </c>
      <c r="J130" s="935">
        <v>0</v>
      </c>
      <c r="K130" s="935">
        <v>0</v>
      </c>
      <c r="L130" s="935">
        <v>0</v>
      </c>
      <c r="M130" s="935">
        <v>0</v>
      </c>
      <c r="N130" s="935">
        <v>0</v>
      </c>
      <c r="O130" s="935">
        <v>0</v>
      </c>
      <c r="P130" s="935">
        <v>0</v>
      </c>
      <c r="Q130" s="935">
        <f t="shared" si="17"/>
        <v>0</v>
      </c>
    </row>
    <row r="131" spans="2:17" hidden="1" x14ac:dyDescent="0.2">
      <c r="B131" s="3" t="s">
        <v>185</v>
      </c>
      <c r="C131" s="935">
        <v>0</v>
      </c>
      <c r="D131" s="935">
        <v>0</v>
      </c>
      <c r="E131" s="935">
        <v>0</v>
      </c>
      <c r="F131" s="935">
        <v>0</v>
      </c>
      <c r="G131" s="935">
        <v>0</v>
      </c>
      <c r="H131" s="935">
        <v>0</v>
      </c>
      <c r="I131" s="935">
        <v>0</v>
      </c>
      <c r="J131" s="935">
        <v>0</v>
      </c>
      <c r="K131" s="935">
        <v>0</v>
      </c>
      <c r="L131" s="935">
        <v>0</v>
      </c>
      <c r="M131" s="935">
        <v>0</v>
      </c>
      <c r="N131" s="935">
        <v>0</v>
      </c>
      <c r="O131" s="935">
        <v>0</v>
      </c>
      <c r="P131" s="935">
        <v>0</v>
      </c>
      <c r="Q131" s="935">
        <f t="shared" si="17"/>
        <v>0</v>
      </c>
    </row>
    <row r="132" spans="2:17" hidden="1" x14ac:dyDescent="0.2">
      <c r="B132" s="3" t="s">
        <v>186</v>
      </c>
      <c r="C132" s="935">
        <v>0</v>
      </c>
      <c r="D132" s="935">
        <v>0</v>
      </c>
      <c r="E132" s="935">
        <v>0</v>
      </c>
      <c r="F132" s="935">
        <v>0</v>
      </c>
      <c r="G132" s="935">
        <v>0</v>
      </c>
      <c r="H132" s="935">
        <v>0</v>
      </c>
      <c r="I132" s="935">
        <v>0</v>
      </c>
      <c r="J132" s="935">
        <v>0</v>
      </c>
      <c r="K132" s="935">
        <v>0</v>
      </c>
      <c r="L132" s="935">
        <v>0</v>
      </c>
      <c r="M132" s="935">
        <v>0</v>
      </c>
      <c r="N132" s="935">
        <v>0</v>
      </c>
      <c r="O132" s="935">
        <v>0</v>
      </c>
      <c r="P132" s="935">
        <v>0</v>
      </c>
      <c r="Q132" s="935">
        <f t="shared" si="17"/>
        <v>0</v>
      </c>
    </row>
    <row r="133" spans="2:17" hidden="1" x14ac:dyDescent="0.2">
      <c r="B133" s="3" t="s">
        <v>187</v>
      </c>
      <c r="C133" s="935">
        <v>0</v>
      </c>
      <c r="D133" s="935">
        <v>0</v>
      </c>
      <c r="E133" s="935">
        <v>0</v>
      </c>
      <c r="F133" s="935">
        <v>0</v>
      </c>
      <c r="G133" s="935">
        <v>0</v>
      </c>
      <c r="H133" s="935">
        <v>0</v>
      </c>
      <c r="I133" s="935">
        <v>0</v>
      </c>
      <c r="J133" s="935">
        <v>0</v>
      </c>
      <c r="K133" s="935">
        <v>0</v>
      </c>
      <c r="L133" s="935">
        <v>0</v>
      </c>
      <c r="M133" s="935">
        <v>0</v>
      </c>
      <c r="N133" s="935">
        <v>0</v>
      </c>
      <c r="O133" s="935">
        <v>0</v>
      </c>
      <c r="P133" s="935">
        <v>0</v>
      </c>
      <c r="Q133" s="935">
        <f t="shared" si="17"/>
        <v>0</v>
      </c>
    </row>
    <row r="134" spans="2:17" hidden="1" x14ac:dyDescent="0.2">
      <c r="B134" s="3" t="s">
        <v>188</v>
      </c>
      <c r="C134" s="935">
        <v>0</v>
      </c>
      <c r="D134" s="935">
        <v>0</v>
      </c>
      <c r="E134" s="935">
        <v>0</v>
      </c>
      <c r="F134" s="935">
        <v>0</v>
      </c>
      <c r="G134" s="935">
        <v>0</v>
      </c>
      <c r="H134" s="935">
        <v>0</v>
      </c>
      <c r="I134" s="935">
        <v>0</v>
      </c>
      <c r="J134" s="935">
        <v>0</v>
      </c>
      <c r="K134" s="935">
        <v>0</v>
      </c>
      <c r="L134" s="935">
        <v>0</v>
      </c>
      <c r="M134" s="935">
        <v>0</v>
      </c>
      <c r="N134" s="935">
        <v>0</v>
      </c>
      <c r="O134" s="935">
        <v>0</v>
      </c>
      <c r="P134" s="935">
        <v>0</v>
      </c>
      <c r="Q134" s="935">
        <f t="shared" si="17"/>
        <v>0</v>
      </c>
    </row>
    <row r="135" spans="2:17" hidden="1" x14ac:dyDescent="0.2">
      <c r="B135" s="3" t="s">
        <v>189</v>
      </c>
      <c r="C135" s="935">
        <v>0</v>
      </c>
      <c r="D135" s="935">
        <v>0</v>
      </c>
      <c r="E135" s="935">
        <v>0</v>
      </c>
      <c r="F135" s="935">
        <v>0</v>
      </c>
      <c r="G135" s="935">
        <v>0</v>
      </c>
      <c r="H135" s="935">
        <v>0</v>
      </c>
      <c r="I135" s="935">
        <v>0</v>
      </c>
      <c r="J135" s="935">
        <v>0</v>
      </c>
      <c r="K135" s="935">
        <v>0</v>
      </c>
      <c r="L135" s="935">
        <v>0</v>
      </c>
      <c r="M135" s="935">
        <v>0</v>
      </c>
      <c r="N135" s="935">
        <v>0</v>
      </c>
      <c r="O135" s="935">
        <v>0</v>
      </c>
      <c r="P135" s="935">
        <v>0</v>
      </c>
      <c r="Q135" s="935">
        <f t="shared" si="17"/>
        <v>0</v>
      </c>
    </row>
    <row r="136" spans="2:17" hidden="1" x14ac:dyDescent="0.2">
      <c r="B136" s="3" t="s">
        <v>190</v>
      </c>
      <c r="C136" s="935">
        <v>0</v>
      </c>
      <c r="D136" s="935">
        <v>0</v>
      </c>
      <c r="E136" s="935">
        <v>0</v>
      </c>
      <c r="F136" s="935">
        <v>0</v>
      </c>
      <c r="G136" s="935">
        <v>0</v>
      </c>
      <c r="H136" s="935">
        <v>0</v>
      </c>
      <c r="I136" s="935">
        <v>0</v>
      </c>
      <c r="J136" s="935">
        <v>0</v>
      </c>
      <c r="K136" s="935">
        <v>0</v>
      </c>
      <c r="L136" s="935">
        <v>0</v>
      </c>
      <c r="M136" s="935">
        <v>0</v>
      </c>
      <c r="N136" s="935">
        <v>0</v>
      </c>
      <c r="O136" s="935">
        <v>0</v>
      </c>
      <c r="P136" s="935">
        <v>0</v>
      </c>
      <c r="Q136" s="935">
        <f t="shared" si="17"/>
        <v>0</v>
      </c>
    </row>
    <row r="137" spans="2:17" hidden="1" x14ac:dyDescent="0.2">
      <c r="B137" s="3" t="s">
        <v>191</v>
      </c>
      <c r="C137" s="935">
        <v>0</v>
      </c>
      <c r="D137" s="935">
        <v>0</v>
      </c>
      <c r="E137" s="935">
        <v>0</v>
      </c>
      <c r="F137" s="935">
        <v>0</v>
      </c>
      <c r="G137" s="935">
        <v>0</v>
      </c>
      <c r="H137" s="935">
        <v>0</v>
      </c>
      <c r="I137" s="935">
        <v>0</v>
      </c>
      <c r="J137" s="935">
        <v>0</v>
      </c>
      <c r="K137" s="935">
        <v>0</v>
      </c>
      <c r="L137" s="935">
        <v>0</v>
      </c>
      <c r="M137" s="935">
        <v>0</v>
      </c>
      <c r="N137" s="935">
        <v>0</v>
      </c>
      <c r="O137" s="935">
        <v>0</v>
      </c>
      <c r="P137" s="935">
        <v>0</v>
      </c>
      <c r="Q137" s="935">
        <f t="shared" si="17"/>
        <v>0</v>
      </c>
    </row>
    <row r="138" spans="2:17" hidden="1" x14ac:dyDescent="0.2">
      <c r="B138" s="3" t="s">
        <v>192</v>
      </c>
      <c r="C138" s="935">
        <v>0</v>
      </c>
      <c r="D138" s="935">
        <v>0</v>
      </c>
      <c r="E138" s="935">
        <v>0</v>
      </c>
      <c r="F138" s="935">
        <v>0</v>
      </c>
      <c r="G138" s="935">
        <v>0</v>
      </c>
      <c r="H138" s="935">
        <v>0</v>
      </c>
      <c r="I138" s="935">
        <v>0</v>
      </c>
      <c r="J138" s="935">
        <v>0</v>
      </c>
      <c r="K138" s="935">
        <v>0</v>
      </c>
      <c r="L138" s="935">
        <v>0</v>
      </c>
      <c r="M138" s="935">
        <v>0</v>
      </c>
      <c r="N138" s="935">
        <v>0</v>
      </c>
      <c r="O138" s="935">
        <v>0</v>
      </c>
      <c r="P138" s="935">
        <v>0</v>
      </c>
      <c r="Q138" s="935">
        <f t="shared" si="17"/>
        <v>0</v>
      </c>
    </row>
    <row r="139" spans="2:17" hidden="1" x14ac:dyDescent="0.2">
      <c r="B139" s="3" t="s">
        <v>193</v>
      </c>
      <c r="C139" s="935">
        <v>0</v>
      </c>
      <c r="D139" s="935">
        <v>0</v>
      </c>
      <c r="E139" s="935">
        <v>0</v>
      </c>
      <c r="F139" s="935">
        <v>0</v>
      </c>
      <c r="G139" s="935">
        <v>0</v>
      </c>
      <c r="H139" s="935">
        <v>0</v>
      </c>
      <c r="I139" s="935">
        <v>0</v>
      </c>
      <c r="J139" s="935">
        <v>0</v>
      </c>
      <c r="K139" s="935">
        <v>0</v>
      </c>
      <c r="L139" s="935">
        <v>0</v>
      </c>
      <c r="M139" s="935">
        <v>0</v>
      </c>
      <c r="N139" s="935">
        <v>0</v>
      </c>
      <c r="O139" s="935">
        <v>0</v>
      </c>
      <c r="P139" s="935">
        <v>0</v>
      </c>
      <c r="Q139" s="935">
        <f t="shared" si="17"/>
        <v>0</v>
      </c>
    </row>
    <row r="140" spans="2:17" hidden="1" x14ac:dyDescent="0.2">
      <c r="B140" s="3" t="s">
        <v>194</v>
      </c>
      <c r="C140" s="935">
        <v>0</v>
      </c>
      <c r="D140" s="935">
        <v>0</v>
      </c>
      <c r="E140" s="935">
        <v>0</v>
      </c>
      <c r="F140" s="935">
        <v>0</v>
      </c>
      <c r="G140" s="935">
        <v>0</v>
      </c>
      <c r="H140" s="935">
        <v>0</v>
      </c>
      <c r="I140" s="935">
        <v>0</v>
      </c>
      <c r="J140" s="935">
        <v>0</v>
      </c>
      <c r="K140" s="935">
        <v>0</v>
      </c>
      <c r="L140" s="935">
        <v>0</v>
      </c>
      <c r="M140" s="935">
        <v>0</v>
      </c>
      <c r="N140" s="935">
        <v>0</v>
      </c>
      <c r="O140" s="935">
        <v>0</v>
      </c>
      <c r="P140" s="935">
        <v>0</v>
      </c>
      <c r="Q140" s="935">
        <f t="shared" si="17"/>
        <v>0</v>
      </c>
    </row>
    <row r="141" spans="2:17" hidden="1" x14ac:dyDescent="0.2">
      <c r="B141" s="3" t="s">
        <v>195</v>
      </c>
      <c r="C141" s="935">
        <v>0</v>
      </c>
      <c r="D141" s="935">
        <v>0</v>
      </c>
      <c r="E141" s="935">
        <v>0</v>
      </c>
      <c r="F141" s="935">
        <v>0</v>
      </c>
      <c r="G141" s="935">
        <v>0</v>
      </c>
      <c r="H141" s="935">
        <v>0</v>
      </c>
      <c r="I141" s="935">
        <v>0</v>
      </c>
      <c r="J141" s="935">
        <v>0</v>
      </c>
      <c r="K141" s="935">
        <v>0</v>
      </c>
      <c r="L141" s="935">
        <v>0</v>
      </c>
      <c r="M141" s="935">
        <v>0</v>
      </c>
      <c r="N141" s="935">
        <v>0</v>
      </c>
      <c r="O141" s="935">
        <v>0</v>
      </c>
      <c r="P141" s="935">
        <v>0</v>
      </c>
      <c r="Q141" s="935">
        <f t="shared" si="17"/>
        <v>0</v>
      </c>
    </row>
    <row r="142" spans="2:17" hidden="1" x14ac:dyDescent="0.2">
      <c r="B142" s="3" t="s">
        <v>196</v>
      </c>
      <c r="C142" s="935">
        <v>0</v>
      </c>
      <c r="D142" s="935">
        <v>0</v>
      </c>
      <c r="E142" s="935">
        <v>0</v>
      </c>
      <c r="F142" s="935">
        <v>0</v>
      </c>
      <c r="G142" s="935">
        <v>0</v>
      </c>
      <c r="H142" s="935">
        <v>0</v>
      </c>
      <c r="I142" s="935">
        <v>0</v>
      </c>
      <c r="J142" s="935">
        <v>0</v>
      </c>
      <c r="K142" s="935">
        <v>0</v>
      </c>
      <c r="L142" s="935">
        <v>0</v>
      </c>
      <c r="M142" s="935">
        <v>0</v>
      </c>
      <c r="N142" s="935">
        <v>0</v>
      </c>
      <c r="O142" s="935">
        <v>0</v>
      </c>
      <c r="P142" s="935">
        <v>0</v>
      </c>
      <c r="Q142" s="935">
        <f t="shared" si="17"/>
        <v>0</v>
      </c>
    </row>
    <row r="143" spans="2:17" hidden="1" x14ac:dyDescent="0.2">
      <c r="B143" s="3" t="s">
        <v>197</v>
      </c>
      <c r="C143" s="935">
        <v>0</v>
      </c>
      <c r="D143" s="935">
        <v>0</v>
      </c>
      <c r="E143" s="935">
        <v>0</v>
      </c>
      <c r="F143" s="935">
        <v>0</v>
      </c>
      <c r="G143" s="935">
        <v>0</v>
      </c>
      <c r="H143" s="935">
        <v>0</v>
      </c>
      <c r="I143" s="935">
        <v>0</v>
      </c>
      <c r="J143" s="935">
        <v>0</v>
      </c>
      <c r="K143" s="935">
        <v>0</v>
      </c>
      <c r="L143" s="935">
        <v>0</v>
      </c>
      <c r="M143" s="935">
        <v>0</v>
      </c>
      <c r="N143" s="935">
        <v>0</v>
      </c>
      <c r="O143" s="935">
        <v>0</v>
      </c>
      <c r="P143" s="935">
        <v>0</v>
      </c>
      <c r="Q143" s="935">
        <f t="shared" si="17"/>
        <v>0</v>
      </c>
    </row>
    <row r="144" spans="2:17" hidden="1" x14ac:dyDescent="0.2">
      <c r="B144" s="3" t="s">
        <v>198</v>
      </c>
      <c r="C144" s="935">
        <v>0</v>
      </c>
      <c r="D144" s="935">
        <v>0</v>
      </c>
      <c r="E144" s="935">
        <v>0</v>
      </c>
      <c r="F144" s="935">
        <v>0</v>
      </c>
      <c r="G144" s="935">
        <v>0</v>
      </c>
      <c r="H144" s="935">
        <v>0</v>
      </c>
      <c r="I144" s="935">
        <v>0</v>
      </c>
      <c r="J144" s="935">
        <v>0</v>
      </c>
      <c r="K144" s="935">
        <v>0</v>
      </c>
      <c r="L144" s="935">
        <v>0</v>
      </c>
      <c r="M144" s="935">
        <v>0</v>
      </c>
      <c r="N144" s="935">
        <v>0</v>
      </c>
      <c r="O144" s="935">
        <v>0</v>
      </c>
      <c r="P144" s="935">
        <v>0</v>
      </c>
      <c r="Q144" s="935">
        <f t="shared" si="17"/>
        <v>0</v>
      </c>
    </row>
    <row r="145" spans="2:17" hidden="1" x14ac:dyDescent="0.2">
      <c r="B145" s="3" t="s">
        <v>199</v>
      </c>
      <c r="C145" s="935">
        <v>0</v>
      </c>
      <c r="D145" s="935">
        <v>0</v>
      </c>
      <c r="E145" s="935">
        <v>0</v>
      </c>
      <c r="F145" s="935">
        <v>0</v>
      </c>
      <c r="G145" s="935">
        <v>0</v>
      </c>
      <c r="H145" s="935">
        <v>0</v>
      </c>
      <c r="I145" s="935">
        <v>0</v>
      </c>
      <c r="J145" s="935">
        <v>0</v>
      </c>
      <c r="K145" s="935">
        <v>0</v>
      </c>
      <c r="L145" s="935">
        <v>0</v>
      </c>
      <c r="M145" s="935">
        <v>0</v>
      </c>
      <c r="N145" s="935">
        <v>0</v>
      </c>
      <c r="O145" s="935">
        <v>0</v>
      </c>
      <c r="P145" s="935">
        <v>0</v>
      </c>
      <c r="Q145" s="935">
        <f t="shared" si="17"/>
        <v>0</v>
      </c>
    </row>
    <row r="146" spans="2:17" x14ac:dyDescent="0.2">
      <c r="B146" s="3" t="s">
        <v>200</v>
      </c>
      <c r="C146" s="935">
        <v>0</v>
      </c>
      <c r="D146" s="935">
        <v>0</v>
      </c>
      <c r="E146" s="935">
        <v>0</v>
      </c>
      <c r="F146" s="935">
        <v>0</v>
      </c>
      <c r="G146" s="935">
        <v>0</v>
      </c>
      <c r="H146" s="935">
        <v>0</v>
      </c>
      <c r="I146" s="935">
        <v>0</v>
      </c>
      <c r="J146" s="935">
        <v>0</v>
      </c>
      <c r="K146" s="935">
        <v>0</v>
      </c>
      <c r="L146" s="935">
        <v>0</v>
      </c>
      <c r="M146" s="935">
        <v>0</v>
      </c>
      <c r="N146" s="935">
        <v>0</v>
      </c>
      <c r="O146" s="935">
        <v>0</v>
      </c>
      <c r="P146" s="935">
        <v>-1874441</v>
      </c>
      <c r="Q146" s="935">
        <f t="shared" si="17"/>
        <v>-1874441</v>
      </c>
    </row>
    <row r="147" spans="2:17" hidden="1" x14ac:dyDescent="0.2">
      <c r="B147" s="3" t="s">
        <v>201</v>
      </c>
      <c r="C147" s="935">
        <v>0</v>
      </c>
      <c r="D147" s="935">
        <v>0</v>
      </c>
      <c r="E147" s="935">
        <v>0</v>
      </c>
      <c r="F147" s="935">
        <v>0</v>
      </c>
      <c r="G147" s="935">
        <v>0</v>
      </c>
      <c r="H147" s="935">
        <v>0</v>
      </c>
      <c r="I147" s="935">
        <v>0</v>
      </c>
      <c r="J147" s="935">
        <v>0</v>
      </c>
      <c r="K147" s="935">
        <v>0</v>
      </c>
      <c r="L147" s="935">
        <v>0</v>
      </c>
      <c r="M147" s="935">
        <v>0</v>
      </c>
      <c r="N147" s="935">
        <v>0</v>
      </c>
      <c r="O147" s="935">
        <v>0</v>
      </c>
      <c r="P147" s="935">
        <v>0</v>
      </c>
      <c r="Q147" s="935">
        <f t="shared" si="17"/>
        <v>0</v>
      </c>
    </row>
    <row r="148" spans="2:17" hidden="1" x14ac:dyDescent="0.2">
      <c r="B148" s="3" t="s">
        <v>202</v>
      </c>
      <c r="C148" s="935">
        <v>0</v>
      </c>
      <c r="D148" s="935">
        <v>0</v>
      </c>
      <c r="E148" s="935">
        <v>0</v>
      </c>
      <c r="F148" s="935">
        <v>0</v>
      </c>
      <c r="G148" s="935">
        <v>0</v>
      </c>
      <c r="H148" s="935">
        <v>0</v>
      </c>
      <c r="I148" s="935">
        <v>0</v>
      </c>
      <c r="J148" s="935">
        <v>0</v>
      </c>
      <c r="K148" s="935">
        <v>0</v>
      </c>
      <c r="L148" s="935">
        <v>0</v>
      </c>
      <c r="M148" s="935">
        <v>0</v>
      </c>
      <c r="N148" s="935">
        <v>0</v>
      </c>
      <c r="O148" s="935">
        <v>0</v>
      </c>
      <c r="P148" s="935">
        <v>0</v>
      </c>
      <c r="Q148" s="935">
        <f t="shared" si="17"/>
        <v>0</v>
      </c>
    </row>
    <row r="149" spans="2:17" hidden="1" x14ac:dyDescent="0.2">
      <c r="B149" s="3" t="s">
        <v>203</v>
      </c>
      <c r="C149" s="935">
        <v>0</v>
      </c>
      <c r="D149" s="935">
        <v>0</v>
      </c>
      <c r="E149" s="935">
        <v>0</v>
      </c>
      <c r="F149" s="935">
        <v>0</v>
      </c>
      <c r="G149" s="935">
        <v>0</v>
      </c>
      <c r="H149" s="935">
        <v>0</v>
      </c>
      <c r="I149" s="935">
        <v>0</v>
      </c>
      <c r="J149" s="935">
        <v>0</v>
      </c>
      <c r="K149" s="935">
        <v>0</v>
      </c>
      <c r="L149" s="935">
        <v>0</v>
      </c>
      <c r="M149" s="935">
        <v>0</v>
      </c>
      <c r="N149" s="935">
        <v>0</v>
      </c>
      <c r="O149" s="935">
        <v>0</v>
      </c>
      <c r="P149" s="935">
        <v>0</v>
      </c>
      <c r="Q149" s="935">
        <f t="shared" si="17"/>
        <v>0</v>
      </c>
    </row>
    <row r="150" spans="2:17" hidden="1" x14ac:dyDescent="0.2">
      <c r="B150" s="3" t="s">
        <v>204</v>
      </c>
      <c r="C150" s="935">
        <v>0</v>
      </c>
      <c r="D150" s="935">
        <v>0</v>
      </c>
      <c r="E150" s="935">
        <v>0</v>
      </c>
      <c r="F150" s="935">
        <v>0</v>
      </c>
      <c r="G150" s="935">
        <v>0</v>
      </c>
      <c r="H150" s="935">
        <v>0</v>
      </c>
      <c r="I150" s="935">
        <v>0</v>
      </c>
      <c r="J150" s="935">
        <v>0</v>
      </c>
      <c r="K150" s="935">
        <v>0</v>
      </c>
      <c r="L150" s="935">
        <v>0</v>
      </c>
      <c r="M150" s="935">
        <v>0</v>
      </c>
      <c r="N150" s="935">
        <v>0</v>
      </c>
      <c r="O150" s="935">
        <v>0</v>
      </c>
      <c r="P150" s="935">
        <v>0</v>
      </c>
      <c r="Q150" s="935">
        <f t="shared" si="17"/>
        <v>0</v>
      </c>
    </row>
    <row r="151" spans="2:17" hidden="1" x14ac:dyDescent="0.2">
      <c r="B151" s="3" t="s">
        <v>205</v>
      </c>
      <c r="C151" s="935">
        <v>0</v>
      </c>
      <c r="D151" s="935">
        <v>0</v>
      </c>
      <c r="E151" s="935">
        <v>0</v>
      </c>
      <c r="F151" s="935">
        <v>0</v>
      </c>
      <c r="G151" s="935">
        <v>0</v>
      </c>
      <c r="H151" s="935">
        <v>0</v>
      </c>
      <c r="I151" s="935">
        <v>0</v>
      </c>
      <c r="J151" s="935">
        <v>0</v>
      </c>
      <c r="K151" s="935">
        <v>0</v>
      </c>
      <c r="L151" s="935">
        <v>0</v>
      </c>
      <c r="M151" s="935">
        <v>0</v>
      </c>
      <c r="N151" s="935">
        <v>0</v>
      </c>
      <c r="O151" s="935">
        <v>0</v>
      </c>
      <c r="P151" s="935">
        <v>0</v>
      </c>
      <c r="Q151" s="935">
        <f t="shared" si="17"/>
        <v>0</v>
      </c>
    </row>
    <row r="152" spans="2:17" hidden="1" x14ac:dyDescent="0.2">
      <c r="B152" s="3" t="s">
        <v>206</v>
      </c>
      <c r="C152" s="935">
        <v>0</v>
      </c>
      <c r="D152" s="935">
        <v>0</v>
      </c>
      <c r="E152" s="935">
        <v>0</v>
      </c>
      <c r="F152" s="935">
        <v>0</v>
      </c>
      <c r="G152" s="935">
        <v>0</v>
      </c>
      <c r="H152" s="935">
        <v>0</v>
      </c>
      <c r="I152" s="935">
        <v>0</v>
      </c>
      <c r="J152" s="935">
        <v>0</v>
      </c>
      <c r="K152" s="935">
        <v>0</v>
      </c>
      <c r="L152" s="935">
        <v>0</v>
      </c>
      <c r="M152" s="935">
        <v>0</v>
      </c>
      <c r="N152" s="935">
        <v>0</v>
      </c>
      <c r="O152" s="935">
        <v>0</v>
      </c>
      <c r="P152" s="935">
        <v>0</v>
      </c>
      <c r="Q152" s="935">
        <f t="shared" si="17"/>
        <v>0</v>
      </c>
    </row>
    <row r="153" spans="2:17" hidden="1" x14ac:dyDescent="0.2">
      <c r="B153" s="3" t="s">
        <v>207</v>
      </c>
      <c r="C153" s="935">
        <v>0</v>
      </c>
      <c r="D153" s="935">
        <v>0</v>
      </c>
      <c r="E153" s="935">
        <v>0</v>
      </c>
      <c r="F153" s="935">
        <v>0</v>
      </c>
      <c r="G153" s="935">
        <v>0</v>
      </c>
      <c r="H153" s="935">
        <v>0</v>
      </c>
      <c r="I153" s="935">
        <v>0</v>
      </c>
      <c r="J153" s="935">
        <v>0</v>
      </c>
      <c r="K153" s="935">
        <v>0</v>
      </c>
      <c r="L153" s="935">
        <v>0</v>
      </c>
      <c r="M153" s="935">
        <v>0</v>
      </c>
      <c r="N153" s="935">
        <v>0</v>
      </c>
      <c r="O153" s="935">
        <v>0</v>
      </c>
      <c r="P153" s="935">
        <v>0</v>
      </c>
      <c r="Q153" s="935">
        <f t="shared" si="17"/>
        <v>0</v>
      </c>
    </row>
    <row r="154" spans="2:17" hidden="1" x14ac:dyDescent="0.2">
      <c r="B154" s="3" t="s">
        <v>208</v>
      </c>
      <c r="C154" s="935">
        <v>0</v>
      </c>
      <c r="D154" s="935">
        <v>0</v>
      </c>
      <c r="E154" s="935">
        <v>0</v>
      </c>
      <c r="F154" s="935">
        <v>0</v>
      </c>
      <c r="G154" s="935">
        <v>0</v>
      </c>
      <c r="H154" s="935">
        <v>0</v>
      </c>
      <c r="I154" s="935">
        <v>0</v>
      </c>
      <c r="J154" s="935">
        <v>0</v>
      </c>
      <c r="K154" s="935">
        <v>0</v>
      </c>
      <c r="L154" s="935">
        <v>0</v>
      </c>
      <c r="M154" s="935">
        <v>0</v>
      </c>
      <c r="N154" s="935">
        <v>0</v>
      </c>
      <c r="O154" s="935">
        <v>0</v>
      </c>
      <c r="P154" s="935">
        <v>0</v>
      </c>
      <c r="Q154" s="935">
        <f t="shared" si="17"/>
        <v>0</v>
      </c>
    </row>
    <row r="155" spans="2:17" hidden="1" x14ac:dyDescent="0.2">
      <c r="B155" s="3" t="s">
        <v>209</v>
      </c>
      <c r="C155" s="935">
        <v>0</v>
      </c>
      <c r="D155" s="935">
        <v>0</v>
      </c>
      <c r="E155" s="935">
        <v>0</v>
      </c>
      <c r="F155" s="935">
        <v>0</v>
      </c>
      <c r="G155" s="935">
        <v>0</v>
      </c>
      <c r="H155" s="935">
        <v>0</v>
      </c>
      <c r="I155" s="935">
        <v>0</v>
      </c>
      <c r="J155" s="935">
        <v>0</v>
      </c>
      <c r="K155" s="935">
        <v>0</v>
      </c>
      <c r="L155" s="935">
        <v>0</v>
      </c>
      <c r="M155" s="935">
        <v>0</v>
      </c>
      <c r="N155" s="935">
        <v>0</v>
      </c>
      <c r="O155" s="935">
        <v>0</v>
      </c>
      <c r="P155" s="935">
        <v>0</v>
      </c>
      <c r="Q155" s="935">
        <f t="shared" si="17"/>
        <v>0</v>
      </c>
    </row>
    <row r="156" spans="2:17" hidden="1" x14ac:dyDescent="0.2">
      <c r="B156" s="3" t="s">
        <v>210</v>
      </c>
      <c r="C156" s="935">
        <v>0</v>
      </c>
      <c r="D156" s="935">
        <v>0</v>
      </c>
      <c r="E156" s="935">
        <v>0</v>
      </c>
      <c r="F156" s="935">
        <v>0</v>
      </c>
      <c r="G156" s="935">
        <v>0</v>
      </c>
      <c r="H156" s="935">
        <v>0</v>
      </c>
      <c r="I156" s="935">
        <v>0</v>
      </c>
      <c r="J156" s="935">
        <v>0</v>
      </c>
      <c r="K156" s="935">
        <v>0</v>
      </c>
      <c r="L156" s="935">
        <v>0</v>
      </c>
      <c r="M156" s="935">
        <v>0</v>
      </c>
      <c r="N156" s="935">
        <v>0</v>
      </c>
      <c r="O156" s="935">
        <v>0</v>
      </c>
      <c r="P156" s="935">
        <v>0</v>
      </c>
      <c r="Q156" s="935">
        <f t="shared" si="17"/>
        <v>0</v>
      </c>
    </row>
    <row r="157" spans="2:17" hidden="1" x14ac:dyDescent="0.2">
      <c r="B157" s="3" t="s">
        <v>211</v>
      </c>
      <c r="C157" s="935">
        <v>0</v>
      </c>
      <c r="D157" s="935">
        <v>0</v>
      </c>
      <c r="E157" s="935">
        <v>0</v>
      </c>
      <c r="F157" s="935">
        <v>0</v>
      </c>
      <c r="G157" s="935">
        <v>0</v>
      </c>
      <c r="H157" s="935">
        <v>0</v>
      </c>
      <c r="I157" s="935">
        <v>0</v>
      </c>
      <c r="J157" s="935">
        <v>0</v>
      </c>
      <c r="K157" s="935">
        <v>0</v>
      </c>
      <c r="L157" s="935">
        <v>0</v>
      </c>
      <c r="M157" s="935">
        <v>0</v>
      </c>
      <c r="N157" s="935">
        <v>0</v>
      </c>
      <c r="O157" s="935">
        <v>0</v>
      </c>
      <c r="P157" s="935">
        <v>0</v>
      </c>
      <c r="Q157" s="935">
        <f t="shared" si="17"/>
        <v>0</v>
      </c>
    </row>
    <row r="158" spans="2:17" hidden="1" x14ac:dyDescent="0.2">
      <c r="B158" s="3" t="s">
        <v>212</v>
      </c>
      <c r="C158" s="935">
        <v>0</v>
      </c>
      <c r="D158" s="935">
        <v>0</v>
      </c>
      <c r="E158" s="935">
        <v>0</v>
      </c>
      <c r="F158" s="935">
        <v>0</v>
      </c>
      <c r="G158" s="935">
        <v>0</v>
      </c>
      <c r="H158" s="935">
        <v>0</v>
      </c>
      <c r="I158" s="935">
        <v>0</v>
      </c>
      <c r="J158" s="935">
        <v>0</v>
      </c>
      <c r="K158" s="935">
        <v>0</v>
      </c>
      <c r="L158" s="935">
        <v>0</v>
      </c>
      <c r="M158" s="935">
        <v>0</v>
      </c>
      <c r="N158" s="935">
        <v>0</v>
      </c>
      <c r="O158" s="935">
        <v>0</v>
      </c>
      <c r="P158" s="935">
        <v>0</v>
      </c>
      <c r="Q158" s="935">
        <f t="shared" si="17"/>
        <v>0</v>
      </c>
    </row>
    <row r="159" spans="2:17" hidden="1" x14ac:dyDescent="0.2">
      <c r="B159" s="3" t="s">
        <v>213</v>
      </c>
      <c r="C159" s="935">
        <v>0</v>
      </c>
      <c r="D159" s="935">
        <v>0</v>
      </c>
      <c r="E159" s="935">
        <v>0</v>
      </c>
      <c r="F159" s="935">
        <v>0</v>
      </c>
      <c r="G159" s="935">
        <v>0</v>
      </c>
      <c r="H159" s="935">
        <v>0</v>
      </c>
      <c r="I159" s="935">
        <v>0</v>
      </c>
      <c r="J159" s="935">
        <v>0</v>
      </c>
      <c r="K159" s="935">
        <v>0</v>
      </c>
      <c r="L159" s="935">
        <v>0</v>
      </c>
      <c r="M159" s="935">
        <v>0</v>
      </c>
      <c r="N159" s="935">
        <v>0</v>
      </c>
      <c r="O159" s="935">
        <v>0</v>
      </c>
      <c r="P159" s="935">
        <v>0</v>
      </c>
      <c r="Q159" s="935">
        <f t="shared" si="17"/>
        <v>0</v>
      </c>
    </row>
    <row r="160" spans="2:17" hidden="1" x14ac:dyDescent="0.2">
      <c r="B160" s="3" t="s">
        <v>214</v>
      </c>
      <c r="C160" s="935">
        <v>0</v>
      </c>
      <c r="D160" s="935">
        <v>0</v>
      </c>
      <c r="E160" s="935">
        <v>0</v>
      </c>
      <c r="F160" s="935">
        <v>0</v>
      </c>
      <c r="G160" s="935">
        <v>0</v>
      </c>
      <c r="H160" s="935">
        <v>0</v>
      </c>
      <c r="I160" s="935">
        <v>0</v>
      </c>
      <c r="J160" s="935">
        <v>0</v>
      </c>
      <c r="K160" s="935">
        <v>0</v>
      </c>
      <c r="L160" s="935">
        <v>0</v>
      </c>
      <c r="M160" s="935">
        <v>0</v>
      </c>
      <c r="N160" s="935">
        <v>0</v>
      </c>
      <c r="O160" s="935">
        <v>0</v>
      </c>
      <c r="P160" s="935">
        <v>0</v>
      </c>
      <c r="Q160" s="935">
        <f t="shared" si="17"/>
        <v>0</v>
      </c>
    </row>
    <row r="161" spans="1:17" hidden="1" x14ac:dyDescent="0.2">
      <c r="B161" s="3" t="s">
        <v>215</v>
      </c>
      <c r="C161" s="935">
        <v>0</v>
      </c>
      <c r="D161" s="935">
        <v>0</v>
      </c>
      <c r="E161" s="935">
        <v>0</v>
      </c>
      <c r="F161" s="935">
        <v>0</v>
      </c>
      <c r="G161" s="935">
        <v>0</v>
      </c>
      <c r="H161" s="935">
        <v>0</v>
      </c>
      <c r="I161" s="935">
        <v>0</v>
      </c>
      <c r="J161" s="935">
        <v>0</v>
      </c>
      <c r="K161" s="935">
        <v>0</v>
      </c>
      <c r="L161" s="935">
        <v>0</v>
      </c>
      <c r="M161" s="935">
        <v>0</v>
      </c>
      <c r="N161" s="935">
        <v>0</v>
      </c>
      <c r="O161" s="935">
        <v>0</v>
      </c>
      <c r="P161" s="935">
        <v>0</v>
      </c>
      <c r="Q161" s="935">
        <f t="shared" si="17"/>
        <v>0</v>
      </c>
    </row>
    <row r="162" spans="1:17" hidden="1" x14ac:dyDescent="0.2">
      <c r="B162" s="3" t="s">
        <v>216</v>
      </c>
      <c r="C162" s="935">
        <v>0</v>
      </c>
      <c r="D162" s="935">
        <v>0</v>
      </c>
      <c r="E162" s="935">
        <v>0</v>
      </c>
      <c r="F162" s="935">
        <v>0</v>
      </c>
      <c r="G162" s="935">
        <v>0</v>
      </c>
      <c r="H162" s="935">
        <v>0</v>
      </c>
      <c r="I162" s="935">
        <v>0</v>
      </c>
      <c r="J162" s="935">
        <v>0</v>
      </c>
      <c r="K162" s="935">
        <v>0</v>
      </c>
      <c r="L162" s="935">
        <v>0</v>
      </c>
      <c r="M162" s="935">
        <v>0</v>
      </c>
      <c r="N162" s="935">
        <v>0</v>
      </c>
      <c r="O162" s="935">
        <v>0</v>
      </c>
      <c r="P162" s="935">
        <v>0</v>
      </c>
      <c r="Q162" s="935">
        <f t="shared" si="17"/>
        <v>0</v>
      </c>
    </row>
    <row r="163" spans="1:17" hidden="1" x14ac:dyDescent="0.2">
      <c r="B163" s="3" t="s">
        <v>217</v>
      </c>
      <c r="C163" s="935">
        <v>0</v>
      </c>
      <c r="D163" s="935">
        <v>0</v>
      </c>
      <c r="E163" s="935">
        <v>0</v>
      </c>
      <c r="F163" s="935">
        <v>0</v>
      </c>
      <c r="G163" s="935">
        <v>0</v>
      </c>
      <c r="H163" s="935">
        <v>0</v>
      </c>
      <c r="I163" s="935">
        <v>0</v>
      </c>
      <c r="J163" s="935">
        <v>0</v>
      </c>
      <c r="K163" s="935">
        <v>0</v>
      </c>
      <c r="L163" s="935">
        <v>0</v>
      </c>
      <c r="M163" s="935">
        <v>0</v>
      </c>
      <c r="N163" s="935">
        <v>0</v>
      </c>
      <c r="O163" s="935">
        <v>0</v>
      </c>
      <c r="P163" s="935">
        <v>0</v>
      </c>
      <c r="Q163" s="935">
        <f t="shared" si="17"/>
        <v>0</v>
      </c>
    </row>
    <row r="164" spans="1:17" hidden="1" x14ac:dyDescent="0.2">
      <c r="B164" s="3" t="s">
        <v>218</v>
      </c>
      <c r="C164" s="935">
        <v>0</v>
      </c>
      <c r="D164" s="935">
        <v>0</v>
      </c>
      <c r="E164" s="935">
        <v>0</v>
      </c>
      <c r="F164" s="935">
        <v>0</v>
      </c>
      <c r="G164" s="935">
        <v>0</v>
      </c>
      <c r="H164" s="935">
        <v>0</v>
      </c>
      <c r="I164" s="935">
        <v>0</v>
      </c>
      <c r="J164" s="935">
        <v>0</v>
      </c>
      <c r="K164" s="935">
        <v>0</v>
      </c>
      <c r="L164" s="935">
        <v>0</v>
      </c>
      <c r="M164" s="935">
        <v>0</v>
      </c>
      <c r="N164" s="935">
        <v>0</v>
      </c>
      <c r="O164" s="935">
        <v>0</v>
      </c>
      <c r="P164" s="935">
        <v>0</v>
      </c>
      <c r="Q164" s="935">
        <f t="shared" si="17"/>
        <v>0</v>
      </c>
    </row>
    <row r="165" spans="1:17" hidden="1" x14ac:dyDescent="0.2">
      <c r="B165" s="3" t="s">
        <v>219</v>
      </c>
      <c r="C165" s="935">
        <v>0</v>
      </c>
      <c r="D165" s="935">
        <v>0</v>
      </c>
      <c r="E165" s="935">
        <v>0</v>
      </c>
      <c r="F165" s="935">
        <v>0</v>
      </c>
      <c r="G165" s="935">
        <v>0</v>
      </c>
      <c r="H165" s="935">
        <v>0</v>
      </c>
      <c r="I165" s="935">
        <v>0</v>
      </c>
      <c r="J165" s="935">
        <v>0</v>
      </c>
      <c r="K165" s="935">
        <v>0</v>
      </c>
      <c r="L165" s="935">
        <v>0</v>
      </c>
      <c r="M165" s="935">
        <v>0</v>
      </c>
      <c r="N165" s="935">
        <v>0</v>
      </c>
      <c r="O165" s="935">
        <v>0</v>
      </c>
      <c r="P165" s="935">
        <v>0</v>
      </c>
      <c r="Q165" s="935">
        <f t="shared" si="17"/>
        <v>0</v>
      </c>
    </row>
    <row r="166" spans="1:17" hidden="1" x14ac:dyDescent="0.2">
      <c r="B166" s="3" t="s">
        <v>220</v>
      </c>
      <c r="C166" s="935">
        <v>0</v>
      </c>
      <c r="D166" s="935">
        <v>0</v>
      </c>
      <c r="E166" s="935">
        <v>0</v>
      </c>
      <c r="F166" s="935">
        <v>0</v>
      </c>
      <c r="G166" s="935">
        <v>0</v>
      </c>
      <c r="H166" s="935">
        <v>0</v>
      </c>
      <c r="I166" s="935">
        <v>0</v>
      </c>
      <c r="J166" s="935">
        <v>0</v>
      </c>
      <c r="K166" s="935">
        <v>0</v>
      </c>
      <c r="L166" s="935">
        <v>0</v>
      </c>
      <c r="M166" s="935">
        <v>0</v>
      </c>
      <c r="N166" s="935">
        <v>0</v>
      </c>
      <c r="O166" s="935">
        <v>0</v>
      </c>
      <c r="P166" s="935">
        <v>0</v>
      </c>
      <c r="Q166" s="935">
        <f t="shared" si="17"/>
        <v>0</v>
      </c>
    </row>
    <row r="167" spans="1:17" hidden="1" x14ac:dyDescent="0.2">
      <c r="B167" s="3" t="s">
        <v>221</v>
      </c>
      <c r="C167" s="935">
        <v>0</v>
      </c>
      <c r="D167" s="935">
        <v>0</v>
      </c>
      <c r="E167" s="935">
        <v>0</v>
      </c>
      <c r="F167" s="935">
        <v>0</v>
      </c>
      <c r="G167" s="935">
        <v>0</v>
      </c>
      <c r="H167" s="935">
        <v>0</v>
      </c>
      <c r="I167" s="935">
        <v>0</v>
      </c>
      <c r="J167" s="935">
        <v>0</v>
      </c>
      <c r="K167" s="935">
        <v>0</v>
      </c>
      <c r="L167" s="935">
        <v>0</v>
      </c>
      <c r="M167" s="935">
        <v>0</v>
      </c>
      <c r="N167" s="935">
        <v>0</v>
      </c>
      <c r="O167" s="935">
        <v>0</v>
      </c>
      <c r="P167" s="935">
        <v>0</v>
      </c>
      <c r="Q167" s="935">
        <f t="shared" si="17"/>
        <v>0</v>
      </c>
    </row>
    <row r="168" spans="1:17" hidden="1" x14ac:dyDescent="0.2">
      <c r="A168" s="2" t="s">
        <v>10</v>
      </c>
      <c r="B168" s="3" t="s">
        <v>142</v>
      </c>
      <c r="C168" s="935">
        <v>0</v>
      </c>
      <c r="D168" s="935">
        <v>0</v>
      </c>
      <c r="E168" s="935">
        <v>0</v>
      </c>
      <c r="F168" s="935">
        <v>0</v>
      </c>
      <c r="G168" s="935">
        <v>0</v>
      </c>
      <c r="H168" s="935">
        <v>0</v>
      </c>
      <c r="I168" s="935">
        <v>0</v>
      </c>
      <c r="J168" s="935">
        <v>0</v>
      </c>
      <c r="K168" s="935">
        <v>0</v>
      </c>
      <c r="L168" s="935">
        <v>0</v>
      </c>
      <c r="M168" s="935">
        <v>0</v>
      </c>
      <c r="N168" s="935">
        <v>0</v>
      </c>
      <c r="O168" s="935">
        <v>0</v>
      </c>
      <c r="P168" s="935">
        <v>0</v>
      </c>
      <c r="Q168" s="935">
        <f t="shared" si="17"/>
        <v>0</v>
      </c>
    </row>
    <row r="169" spans="1:17" hidden="1" x14ac:dyDescent="0.2">
      <c r="A169" s="2" t="s">
        <v>10</v>
      </c>
      <c r="B169" s="3" t="s">
        <v>141</v>
      </c>
      <c r="C169" s="935">
        <v>0</v>
      </c>
      <c r="D169" s="935">
        <v>0</v>
      </c>
      <c r="E169" s="935">
        <v>0</v>
      </c>
      <c r="F169" s="935">
        <v>0</v>
      </c>
      <c r="G169" s="935">
        <v>0</v>
      </c>
      <c r="H169" s="935">
        <v>0</v>
      </c>
      <c r="I169" s="935">
        <v>0</v>
      </c>
      <c r="J169" s="935">
        <v>0</v>
      </c>
      <c r="K169" s="935">
        <v>0</v>
      </c>
      <c r="L169" s="935">
        <v>0</v>
      </c>
      <c r="M169" s="935">
        <v>0</v>
      </c>
      <c r="N169" s="935">
        <v>0</v>
      </c>
      <c r="O169" s="935">
        <v>0</v>
      </c>
      <c r="P169" s="935">
        <v>0</v>
      </c>
      <c r="Q169" s="935">
        <f t="shared" si="17"/>
        <v>0</v>
      </c>
    </row>
    <row r="170" spans="1:17" hidden="1" x14ac:dyDescent="0.2">
      <c r="A170" s="2" t="s">
        <v>33</v>
      </c>
      <c r="B170" s="3" t="s">
        <v>222</v>
      </c>
      <c r="C170" s="935">
        <v>0</v>
      </c>
      <c r="D170" s="935">
        <v>0</v>
      </c>
      <c r="E170" s="935">
        <v>0</v>
      </c>
      <c r="F170" s="935">
        <v>0</v>
      </c>
      <c r="G170" s="935">
        <v>0</v>
      </c>
      <c r="H170" s="935">
        <v>0</v>
      </c>
      <c r="I170" s="935">
        <v>0</v>
      </c>
      <c r="J170" s="935">
        <v>0</v>
      </c>
      <c r="K170" s="935">
        <v>0</v>
      </c>
      <c r="L170" s="935">
        <v>0</v>
      </c>
      <c r="M170" s="935">
        <v>0</v>
      </c>
      <c r="N170" s="935">
        <v>0</v>
      </c>
      <c r="O170" s="935">
        <v>0</v>
      </c>
      <c r="P170" s="935">
        <v>0</v>
      </c>
      <c r="Q170" s="935">
        <f t="shared" si="17"/>
        <v>0</v>
      </c>
    </row>
    <row r="171" spans="1:17" hidden="1" x14ac:dyDescent="0.2">
      <c r="A171" s="2" t="s">
        <v>10</v>
      </c>
      <c r="B171" s="3" t="s">
        <v>138</v>
      </c>
      <c r="C171" s="935">
        <v>0</v>
      </c>
      <c r="D171" s="935">
        <v>0</v>
      </c>
      <c r="E171" s="935">
        <v>0</v>
      </c>
      <c r="F171" s="935">
        <v>0</v>
      </c>
      <c r="G171" s="935">
        <v>0</v>
      </c>
      <c r="H171" s="935">
        <v>0</v>
      </c>
      <c r="I171" s="935">
        <v>0</v>
      </c>
      <c r="J171" s="935">
        <v>0</v>
      </c>
      <c r="K171" s="935">
        <v>0</v>
      </c>
      <c r="L171" s="935">
        <v>0</v>
      </c>
      <c r="M171" s="935">
        <v>0</v>
      </c>
      <c r="N171" s="935">
        <v>0</v>
      </c>
      <c r="O171" s="935">
        <v>0</v>
      </c>
      <c r="P171" s="935">
        <v>0</v>
      </c>
      <c r="Q171" s="935">
        <f t="shared" si="17"/>
        <v>0</v>
      </c>
    </row>
    <row r="172" spans="1:17" hidden="1" x14ac:dyDescent="0.2">
      <c r="A172" s="2" t="s">
        <v>10</v>
      </c>
      <c r="B172" s="3" t="s">
        <v>136</v>
      </c>
      <c r="C172" s="935">
        <v>0</v>
      </c>
      <c r="D172" s="935">
        <v>0</v>
      </c>
      <c r="E172" s="935">
        <v>0</v>
      </c>
      <c r="F172" s="935">
        <v>0</v>
      </c>
      <c r="G172" s="935">
        <v>0</v>
      </c>
      <c r="H172" s="935">
        <v>0</v>
      </c>
      <c r="I172" s="935">
        <v>0</v>
      </c>
      <c r="J172" s="935">
        <v>0</v>
      </c>
      <c r="K172" s="935">
        <v>0</v>
      </c>
      <c r="L172" s="935">
        <v>0</v>
      </c>
      <c r="M172" s="935">
        <v>0</v>
      </c>
      <c r="N172" s="935">
        <v>0</v>
      </c>
      <c r="O172" s="935">
        <v>0</v>
      </c>
      <c r="P172" s="935">
        <v>0</v>
      </c>
      <c r="Q172" s="935">
        <f t="shared" si="17"/>
        <v>0</v>
      </c>
    </row>
    <row r="173" spans="1:17" hidden="1" x14ac:dyDescent="0.2">
      <c r="B173" s="3" t="s">
        <v>223</v>
      </c>
      <c r="C173" s="935">
        <v>0</v>
      </c>
      <c r="D173" s="935">
        <v>0</v>
      </c>
      <c r="E173" s="935">
        <v>0</v>
      </c>
      <c r="F173" s="935">
        <v>0</v>
      </c>
      <c r="G173" s="935">
        <v>0</v>
      </c>
      <c r="H173" s="935">
        <v>0</v>
      </c>
      <c r="I173" s="935">
        <v>0</v>
      </c>
      <c r="J173" s="935">
        <v>0</v>
      </c>
      <c r="K173" s="935">
        <v>0</v>
      </c>
      <c r="L173" s="935">
        <v>0</v>
      </c>
      <c r="M173" s="935">
        <v>0</v>
      </c>
      <c r="N173" s="935">
        <v>0</v>
      </c>
      <c r="O173" s="935">
        <v>0</v>
      </c>
      <c r="P173" s="935">
        <v>0</v>
      </c>
      <c r="Q173" s="935">
        <f t="shared" si="17"/>
        <v>0</v>
      </c>
    </row>
    <row r="174" spans="1:17" hidden="1" x14ac:dyDescent="0.2">
      <c r="B174" s="3" t="s">
        <v>224</v>
      </c>
      <c r="C174" s="935">
        <v>0</v>
      </c>
      <c r="D174" s="935">
        <v>0</v>
      </c>
      <c r="E174" s="935">
        <v>0</v>
      </c>
      <c r="F174" s="935">
        <v>0</v>
      </c>
      <c r="G174" s="935">
        <v>0</v>
      </c>
      <c r="H174" s="935">
        <v>0</v>
      </c>
      <c r="I174" s="935">
        <v>0</v>
      </c>
      <c r="J174" s="935">
        <v>0</v>
      </c>
      <c r="K174" s="935">
        <v>0</v>
      </c>
      <c r="L174" s="935">
        <v>0</v>
      </c>
      <c r="M174" s="935">
        <v>0</v>
      </c>
      <c r="N174" s="935">
        <v>0</v>
      </c>
      <c r="O174" s="935">
        <v>0</v>
      </c>
      <c r="P174" s="935">
        <v>0</v>
      </c>
      <c r="Q174" s="935">
        <f t="shared" si="17"/>
        <v>0</v>
      </c>
    </row>
    <row r="175" spans="1:17" hidden="1" x14ac:dyDescent="0.2">
      <c r="B175" s="3" t="s">
        <v>225</v>
      </c>
      <c r="C175" s="935">
        <v>0</v>
      </c>
      <c r="D175" s="935">
        <v>0</v>
      </c>
      <c r="E175" s="935">
        <v>0</v>
      </c>
      <c r="F175" s="935">
        <v>0</v>
      </c>
      <c r="G175" s="935">
        <v>0</v>
      </c>
      <c r="H175" s="935">
        <v>0</v>
      </c>
      <c r="I175" s="935">
        <v>0</v>
      </c>
      <c r="J175" s="935">
        <v>0</v>
      </c>
      <c r="K175" s="935">
        <v>0</v>
      </c>
      <c r="L175" s="935">
        <v>0</v>
      </c>
      <c r="M175" s="935">
        <v>0</v>
      </c>
      <c r="N175" s="935">
        <v>0</v>
      </c>
      <c r="O175" s="935">
        <v>0</v>
      </c>
      <c r="P175" s="935">
        <v>0</v>
      </c>
      <c r="Q175" s="935">
        <f t="shared" si="17"/>
        <v>0</v>
      </c>
    </row>
    <row r="176" spans="1:17" hidden="1" x14ac:dyDescent="0.2">
      <c r="B176" s="3" t="s">
        <v>226</v>
      </c>
      <c r="C176" s="935">
        <v>0</v>
      </c>
      <c r="D176" s="935">
        <v>0</v>
      </c>
      <c r="E176" s="935">
        <v>0</v>
      </c>
      <c r="F176" s="935">
        <v>0</v>
      </c>
      <c r="G176" s="935">
        <v>0</v>
      </c>
      <c r="H176" s="935">
        <v>0</v>
      </c>
      <c r="I176" s="935">
        <v>0</v>
      </c>
      <c r="J176" s="935">
        <v>0</v>
      </c>
      <c r="K176" s="935">
        <v>0</v>
      </c>
      <c r="L176" s="935">
        <v>0</v>
      </c>
      <c r="M176" s="935">
        <v>0</v>
      </c>
      <c r="N176" s="935">
        <v>0</v>
      </c>
      <c r="O176" s="935">
        <v>0</v>
      </c>
      <c r="P176" s="935">
        <v>0</v>
      </c>
      <c r="Q176" s="935">
        <f t="shared" si="17"/>
        <v>0</v>
      </c>
    </row>
    <row r="177" spans="2:17" hidden="1" x14ac:dyDescent="0.2">
      <c r="B177" s="3" t="s">
        <v>227</v>
      </c>
      <c r="C177" s="935">
        <v>0</v>
      </c>
      <c r="D177" s="935">
        <v>0</v>
      </c>
      <c r="E177" s="935">
        <v>0</v>
      </c>
      <c r="F177" s="935">
        <v>0</v>
      </c>
      <c r="G177" s="935">
        <v>0</v>
      </c>
      <c r="H177" s="935">
        <v>0</v>
      </c>
      <c r="I177" s="935">
        <v>0</v>
      </c>
      <c r="J177" s="935">
        <v>0</v>
      </c>
      <c r="K177" s="935">
        <v>0</v>
      </c>
      <c r="L177" s="935">
        <v>0</v>
      </c>
      <c r="M177" s="935">
        <v>0</v>
      </c>
      <c r="N177" s="935">
        <v>0</v>
      </c>
      <c r="O177" s="935">
        <v>0</v>
      </c>
      <c r="P177" s="935">
        <v>0</v>
      </c>
      <c r="Q177" s="935">
        <f t="shared" si="17"/>
        <v>0</v>
      </c>
    </row>
    <row r="178" spans="2:17" hidden="1" x14ac:dyDescent="0.2">
      <c r="B178" s="3" t="s">
        <v>228</v>
      </c>
      <c r="C178" s="935">
        <v>0</v>
      </c>
      <c r="D178" s="935">
        <v>0</v>
      </c>
      <c r="E178" s="935">
        <v>0</v>
      </c>
      <c r="F178" s="935">
        <v>0</v>
      </c>
      <c r="G178" s="935">
        <v>0</v>
      </c>
      <c r="H178" s="935">
        <v>0</v>
      </c>
      <c r="I178" s="935">
        <v>0</v>
      </c>
      <c r="J178" s="935">
        <v>0</v>
      </c>
      <c r="K178" s="935">
        <v>0</v>
      </c>
      <c r="L178" s="935">
        <v>0</v>
      </c>
      <c r="M178" s="935">
        <v>0</v>
      </c>
      <c r="N178" s="935">
        <v>0</v>
      </c>
      <c r="O178" s="935">
        <v>0</v>
      </c>
      <c r="P178" s="935">
        <v>0</v>
      </c>
      <c r="Q178" s="935">
        <f t="shared" si="17"/>
        <v>0</v>
      </c>
    </row>
    <row r="179" spans="2:17" hidden="1" x14ac:dyDescent="0.2">
      <c r="B179" s="3" t="s">
        <v>229</v>
      </c>
      <c r="C179" s="935">
        <v>0</v>
      </c>
      <c r="D179" s="935">
        <v>0</v>
      </c>
      <c r="E179" s="935">
        <v>0</v>
      </c>
      <c r="F179" s="935">
        <v>0</v>
      </c>
      <c r="G179" s="935">
        <v>0</v>
      </c>
      <c r="H179" s="935">
        <v>0</v>
      </c>
      <c r="I179" s="935">
        <v>0</v>
      </c>
      <c r="J179" s="935">
        <v>0</v>
      </c>
      <c r="K179" s="935">
        <v>0</v>
      </c>
      <c r="L179" s="935">
        <v>0</v>
      </c>
      <c r="M179" s="935">
        <v>0</v>
      </c>
      <c r="N179" s="935">
        <v>0</v>
      </c>
      <c r="O179" s="935">
        <v>0</v>
      </c>
      <c r="P179" s="935">
        <v>0</v>
      </c>
      <c r="Q179" s="935">
        <f t="shared" si="17"/>
        <v>0</v>
      </c>
    </row>
    <row r="180" spans="2:17" hidden="1" x14ac:dyDescent="0.2">
      <c r="B180" s="3" t="s">
        <v>230</v>
      </c>
      <c r="C180" s="935">
        <v>0</v>
      </c>
      <c r="D180" s="935">
        <v>0</v>
      </c>
      <c r="E180" s="935">
        <v>0</v>
      </c>
      <c r="F180" s="935">
        <v>0</v>
      </c>
      <c r="G180" s="935">
        <v>0</v>
      </c>
      <c r="H180" s="935">
        <v>0</v>
      </c>
      <c r="I180" s="935">
        <v>0</v>
      </c>
      <c r="J180" s="935">
        <v>0</v>
      </c>
      <c r="K180" s="935">
        <v>0</v>
      </c>
      <c r="L180" s="935">
        <v>0</v>
      </c>
      <c r="M180" s="935">
        <v>0</v>
      </c>
      <c r="N180" s="935">
        <v>0</v>
      </c>
      <c r="O180" s="935">
        <v>0</v>
      </c>
      <c r="P180" s="935">
        <v>0</v>
      </c>
      <c r="Q180" s="935">
        <f t="shared" si="17"/>
        <v>0</v>
      </c>
    </row>
    <row r="181" spans="2:17" hidden="1" x14ac:dyDescent="0.2">
      <c r="B181" s="3" t="s">
        <v>231</v>
      </c>
      <c r="C181" s="935">
        <v>0</v>
      </c>
      <c r="D181" s="935">
        <v>0</v>
      </c>
      <c r="E181" s="935">
        <v>0</v>
      </c>
      <c r="F181" s="935">
        <v>0</v>
      </c>
      <c r="G181" s="935">
        <v>0</v>
      </c>
      <c r="H181" s="935">
        <v>0</v>
      </c>
      <c r="I181" s="935">
        <v>0</v>
      </c>
      <c r="J181" s="935">
        <v>0</v>
      </c>
      <c r="K181" s="935">
        <v>0</v>
      </c>
      <c r="L181" s="935">
        <v>0</v>
      </c>
      <c r="M181" s="935">
        <v>0</v>
      </c>
      <c r="N181" s="935">
        <v>0</v>
      </c>
      <c r="O181" s="935">
        <v>0</v>
      </c>
      <c r="P181" s="935">
        <v>0</v>
      </c>
      <c r="Q181" s="935">
        <f t="shared" si="17"/>
        <v>0</v>
      </c>
    </row>
    <row r="182" spans="2:17" hidden="1" x14ac:dyDescent="0.2">
      <c r="B182" s="3" t="s">
        <v>232</v>
      </c>
      <c r="C182" s="935">
        <v>0</v>
      </c>
      <c r="D182" s="935">
        <v>0</v>
      </c>
      <c r="E182" s="935">
        <v>0</v>
      </c>
      <c r="F182" s="935">
        <v>0</v>
      </c>
      <c r="G182" s="935">
        <v>0</v>
      </c>
      <c r="H182" s="935">
        <v>0</v>
      </c>
      <c r="I182" s="935">
        <v>0</v>
      </c>
      <c r="J182" s="935">
        <v>0</v>
      </c>
      <c r="K182" s="935">
        <v>0</v>
      </c>
      <c r="L182" s="935">
        <v>0</v>
      </c>
      <c r="M182" s="935">
        <v>0</v>
      </c>
      <c r="N182" s="935">
        <v>0</v>
      </c>
      <c r="O182" s="935">
        <v>0</v>
      </c>
      <c r="P182" s="935">
        <v>0</v>
      </c>
      <c r="Q182" s="935">
        <f t="shared" si="17"/>
        <v>0</v>
      </c>
    </row>
    <row r="183" spans="2:17" hidden="1" x14ac:dyDescent="0.2">
      <c r="B183" s="3" t="s">
        <v>233</v>
      </c>
      <c r="C183" s="935">
        <v>0</v>
      </c>
      <c r="D183" s="935">
        <v>0</v>
      </c>
      <c r="E183" s="935">
        <v>0</v>
      </c>
      <c r="F183" s="935">
        <v>0</v>
      </c>
      <c r="G183" s="935">
        <v>0</v>
      </c>
      <c r="H183" s="935">
        <v>0</v>
      </c>
      <c r="I183" s="935">
        <v>0</v>
      </c>
      <c r="J183" s="935">
        <v>0</v>
      </c>
      <c r="K183" s="935">
        <v>0</v>
      </c>
      <c r="L183" s="935">
        <v>0</v>
      </c>
      <c r="M183" s="935">
        <v>0</v>
      </c>
      <c r="N183" s="935">
        <v>0</v>
      </c>
      <c r="O183" s="935">
        <v>0</v>
      </c>
      <c r="P183" s="935">
        <v>0</v>
      </c>
      <c r="Q183" s="935">
        <f t="shared" si="17"/>
        <v>0</v>
      </c>
    </row>
    <row r="184" spans="2:17" hidden="1" x14ac:dyDescent="0.2">
      <c r="B184" s="3" t="s">
        <v>234</v>
      </c>
      <c r="C184" s="935">
        <v>0</v>
      </c>
      <c r="D184" s="935">
        <v>0</v>
      </c>
      <c r="E184" s="935">
        <v>0</v>
      </c>
      <c r="F184" s="935">
        <v>0</v>
      </c>
      <c r="G184" s="935">
        <v>0</v>
      </c>
      <c r="H184" s="935">
        <v>0</v>
      </c>
      <c r="I184" s="935">
        <v>0</v>
      </c>
      <c r="J184" s="935">
        <v>0</v>
      </c>
      <c r="K184" s="935">
        <v>0</v>
      </c>
      <c r="L184" s="935">
        <v>0</v>
      </c>
      <c r="M184" s="935">
        <v>0</v>
      </c>
      <c r="N184" s="935">
        <v>0</v>
      </c>
      <c r="O184" s="935">
        <v>0</v>
      </c>
      <c r="P184" s="935">
        <v>0</v>
      </c>
      <c r="Q184" s="935">
        <f t="shared" si="17"/>
        <v>0</v>
      </c>
    </row>
    <row r="185" spans="2:17" hidden="1" x14ac:dyDescent="0.2">
      <c r="B185" s="3" t="s">
        <v>9</v>
      </c>
      <c r="C185" s="935">
        <v>0</v>
      </c>
      <c r="D185" s="935">
        <v>0</v>
      </c>
      <c r="E185" s="935">
        <v>0</v>
      </c>
      <c r="F185" s="935">
        <v>0</v>
      </c>
      <c r="G185" s="935">
        <v>0</v>
      </c>
      <c r="H185" s="935">
        <v>0</v>
      </c>
      <c r="I185" s="935">
        <v>0</v>
      </c>
      <c r="J185" s="935">
        <v>0</v>
      </c>
      <c r="K185" s="935">
        <v>0</v>
      </c>
      <c r="L185" s="935">
        <v>0</v>
      </c>
      <c r="M185" s="935">
        <v>0</v>
      </c>
      <c r="N185" s="935">
        <v>0</v>
      </c>
      <c r="O185" s="935">
        <v>0</v>
      </c>
      <c r="P185" s="935">
        <v>0</v>
      </c>
      <c r="Q185" s="935">
        <f t="shared" si="17"/>
        <v>0</v>
      </c>
    </row>
    <row r="186" spans="2:17" hidden="1" x14ac:dyDescent="0.2">
      <c r="B186" s="3" t="s">
        <v>581</v>
      </c>
      <c r="C186" s="935">
        <v>0</v>
      </c>
      <c r="D186" s="935">
        <v>0</v>
      </c>
      <c r="E186" s="935">
        <v>0</v>
      </c>
      <c r="F186" s="935">
        <v>0</v>
      </c>
      <c r="G186" s="935">
        <v>0</v>
      </c>
      <c r="H186" s="935">
        <v>0</v>
      </c>
      <c r="I186" s="935">
        <v>0</v>
      </c>
      <c r="J186" s="935">
        <v>0</v>
      </c>
      <c r="K186" s="935">
        <v>0</v>
      </c>
      <c r="L186" s="935">
        <v>0</v>
      </c>
      <c r="M186" s="935">
        <v>0</v>
      </c>
      <c r="N186" s="935">
        <v>0</v>
      </c>
      <c r="O186" s="935">
        <v>0</v>
      </c>
      <c r="P186" s="935">
        <v>0</v>
      </c>
      <c r="Q186" s="935">
        <f t="shared" si="17"/>
        <v>0</v>
      </c>
    </row>
    <row r="187" spans="2:17" hidden="1" x14ac:dyDescent="0.2">
      <c r="B187" s="3" t="s">
        <v>235</v>
      </c>
      <c r="C187" s="935">
        <v>0</v>
      </c>
      <c r="D187" s="935">
        <v>0</v>
      </c>
      <c r="E187" s="935">
        <v>0</v>
      </c>
      <c r="F187" s="935">
        <v>0</v>
      </c>
      <c r="G187" s="935">
        <v>0</v>
      </c>
      <c r="H187" s="935">
        <v>0</v>
      </c>
      <c r="I187" s="935">
        <v>0</v>
      </c>
      <c r="J187" s="935">
        <v>0</v>
      </c>
      <c r="K187" s="935">
        <v>0</v>
      </c>
      <c r="L187" s="935">
        <v>0</v>
      </c>
      <c r="M187" s="935">
        <v>0</v>
      </c>
      <c r="N187" s="935">
        <v>0</v>
      </c>
      <c r="O187" s="935">
        <v>0</v>
      </c>
      <c r="P187" s="935">
        <v>0</v>
      </c>
      <c r="Q187" s="935">
        <f t="shared" si="17"/>
        <v>0</v>
      </c>
    </row>
    <row r="188" spans="2:17" hidden="1" x14ac:dyDescent="0.2">
      <c r="B188" s="3" t="s">
        <v>236</v>
      </c>
      <c r="C188" s="935">
        <v>0</v>
      </c>
      <c r="D188" s="935">
        <v>0</v>
      </c>
      <c r="E188" s="935">
        <v>0</v>
      </c>
      <c r="F188" s="935">
        <v>0</v>
      </c>
      <c r="G188" s="935">
        <v>0</v>
      </c>
      <c r="H188" s="935">
        <v>0</v>
      </c>
      <c r="I188" s="935">
        <v>0</v>
      </c>
      <c r="J188" s="935">
        <v>0</v>
      </c>
      <c r="K188" s="935">
        <v>0</v>
      </c>
      <c r="L188" s="935">
        <v>0</v>
      </c>
      <c r="M188" s="935">
        <v>0</v>
      </c>
      <c r="N188" s="935">
        <v>0</v>
      </c>
      <c r="O188" s="935">
        <v>0</v>
      </c>
      <c r="P188" s="935">
        <v>0</v>
      </c>
      <c r="Q188" s="935">
        <f t="shared" ref="Q188:Q213" si="18">SUM(C188:P188)</f>
        <v>0</v>
      </c>
    </row>
    <row r="189" spans="2:17" hidden="1" x14ac:dyDescent="0.2">
      <c r="B189" s="3" t="s">
        <v>237</v>
      </c>
      <c r="C189" s="935">
        <v>0</v>
      </c>
      <c r="D189" s="935">
        <v>0</v>
      </c>
      <c r="E189" s="935">
        <v>0</v>
      </c>
      <c r="F189" s="935">
        <v>0</v>
      </c>
      <c r="G189" s="935">
        <v>0</v>
      </c>
      <c r="H189" s="935">
        <v>0</v>
      </c>
      <c r="I189" s="935">
        <v>0</v>
      </c>
      <c r="J189" s="935">
        <v>0</v>
      </c>
      <c r="K189" s="935">
        <v>0</v>
      </c>
      <c r="L189" s="935">
        <v>0</v>
      </c>
      <c r="M189" s="935">
        <v>0</v>
      </c>
      <c r="N189" s="935">
        <v>0</v>
      </c>
      <c r="O189" s="935">
        <v>0</v>
      </c>
      <c r="P189" s="935">
        <v>0</v>
      </c>
      <c r="Q189" s="935">
        <f t="shared" si="18"/>
        <v>0</v>
      </c>
    </row>
    <row r="190" spans="2:17" hidden="1" x14ac:dyDescent="0.2">
      <c r="B190" s="3" t="s">
        <v>238</v>
      </c>
      <c r="C190" s="935">
        <v>0</v>
      </c>
      <c r="D190" s="935">
        <v>0</v>
      </c>
      <c r="E190" s="935">
        <v>0</v>
      </c>
      <c r="F190" s="935">
        <v>0</v>
      </c>
      <c r="G190" s="935">
        <v>0</v>
      </c>
      <c r="H190" s="935">
        <v>0</v>
      </c>
      <c r="I190" s="935">
        <v>0</v>
      </c>
      <c r="J190" s="935">
        <v>0</v>
      </c>
      <c r="K190" s="935">
        <v>0</v>
      </c>
      <c r="L190" s="935">
        <v>0</v>
      </c>
      <c r="M190" s="935">
        <v>0</v>
      </c>
      <c r="N190" s="935">
        <v>0</v>
      </c>
      <c r="O190" s="935">
        <v>0</v>
      </c>
      <c r="P190" s="935">
        <v>0</v>
      </c>
      <c r="Q190" s="935">
        <f t="shared" si="18"/>
        <v>0</v>
      </c>
    </row>
    <row r="191" spans="2:17" hidden="1" x14ac:dyDescent="0.2">
      <c r="B191" s="3" t="s">
        <v>239</v>
      </c>
      <c r="C191" s="935">
        <v>0</v>
      </c>
      <c r="D191" s="935">
        <v>0</v>
      </c>
      <c r="E191" s="935">
        <v>0</v>
      </c>
      <c r="F191" s="935">
        <v>0</v>
      </c>
      <c r="G191" s="935">
        <v>0</v>
      </c>
      <c r="H191" s="935">
        <v>0</v>
      </c>
      <c r="I191" s="935">
        <v>0</v>
      </c>
      <c r="J191" s="935">
        <v>0</v>
      </c>
      <c r="K191" s="935">
        <v>0</v>
      </c>
      <c r="L191" s="935">
        <v>0</v>
      </c>
      <c r="M191" s="935">
        <v>0</v>
      </c>
      <c r="N191" s="935">
        <v>0</v>
      </c>
      <c r="O191" s="935">
        <v>0</v>
      </c>
      <c r="P191" s="935">
        <v>0</v>
      </c>
      <c r="Q191" s="935">
        <f t="shared" si="18"/>
        <v>0</v>
      </c>
    </row>
    <row r="192" spans="2:17" hidden="1" x14ac:dyDescent="0.2">
      <c r="B192" s="3" t="s">
        <v>240</v>
      </c>
      <c r="C192" s="935">
        <v>0</v>
      </c>
      <c r="D192" s="935">
        <v>0</v>
      </c>
      <c r="E192" s="935">
        <v>0</v>
      </c>
      <c r="F192" s="935">
        <v>0</v>
      </c>
      <c r="G192" s="935">
        <v>0</v>
      </c>
      <c r="H192" s="935">
        <v>0</v>
      </c>
      <c r="I192" s="935">
        <v>0</v>
      </c>
      <c r="J192" s="935">
        <v>0</v>
      </c>
      <c r="K192" s="935">
        <v>0</v>
      </c>
      <c r="L192" s="935">
        <v>0</v>
      </c>
      <c r="M192" s="935">
        <v>0</v>
      </c>
      <c r="N192" s="935">
        <v>0</v>
      </c>
      <c r="O192" s="935">
        <v>0</v>
      </c>
      <c r="P192" s="935">
        <v>0</v>
      </c>
      <c r="Q192" s="935">
        <f t="shared" si="18"/>
        <v>0</v>
      </c>
    </row>
    <row r="193" spans="2:17" hidden="1" x14ac:dyDescent="0.2">
      <c r="B193" s="3" t="s">
        <v>241</v>
      </c>
      <c r="C193" s="935">
        <v>0</v>
      </c>
      <c r="D193" s="935">
        <v>0</v>
      </c>
      <c r="E193" s="935">
        <v>0</v>
      </c>
      <c r="F193" s="935">
        <v>0</v>
      </c>
      <c r="G193" s="935">
        <v>0</v>
      </c>
      <c r="H193" s="935">
        <v>0</v>
      </c>
      <c r="I193" s="935">
        <v>0</v>
      </c>
      <c r="J193" s="935">
        <v>0</v>
      </c>
      <c r="K193" s="935">
        <v>0</v>
      </c>
      <c r="L193" s="935">
        <v>0</v>
      </c>
      <c r="M193" s="935">
        <v>0</v>
      </c>
      <c r="N193" s="935">
        <v>0</v>
      </c>
      <c r="O193" s="935">
        <v>0</v>
      </c>
      <c r="P193" s="935">
        <v>0</v>
      </c>
      <c r="Q193" s="935">
        <f t="shared" si="18"/>
        <v>0</v>
      </c>
    </row>
    <row r="194" spans="2:17" hidden="1" x14ac:dyDescent="0.2">
      <c r="B194" s="3" t="s">
        <v>639</v>
      </c>
      <c r="C194" s="935">
        <v>0</v>
      </c>
      <c r="D194" s="935">
        <v>0</v>
      </c>
      <c r="E194" s="935">
        <v>0</v>
      </c>
      <c r="F194" s="935">
        <v>0</v>
      </c>
      <c r="G194" s="935">
        <v>0</v>
      </c>
      <c r="H194" s="935">
        <v>0</v>
      </c>
      <c r="I194" s="935">
        <v>0</v>
      </c>
      <c r="J194" s="935">
        <v>0</v>
      </c>
      <c r="K194" s="935">
        <v>0</v>
      </c>
      <c r="L194" s="935">
        <v>0</v>
      </c>
      <c r="M194" s="935">
        <v>0</v>
      </c>
      <c r="N194" s="935">
        <v>0</v>
      </c>
      <c r="O194" s="935">
        <v>0</v>
      </c>
      <c r="P194" s="935">
        <v>0</v>
      </c>
      <c r="Q194" s="935">
        <f t="shared" si="18"/>
        <v>0</v>
      </c>
    </row>
    <row r="195" spans="2:17" hidden="1" x14ac:dyDescent="0.2">
      <c r="B195" s="3" t="s">
        <v>243</v>
      </c>
      <c r="C195" s="935">
        <v>0</v>
      </c>
      <c r="D195" s="935">
        <v>0</v>
      </c>
      <c r="E195" s="935">
        <v>0</v>
      </c>
      <c r="F195" s="935">
        <v>0</v>
      </c>
      <c r="G195" s="935">
        <v>0</v>
      </c>
      <c r="H195" s="935">
        <v>0</v>
      </c>
      <c r="I195" s="935">
        <v>0</v>
      </c>
      <c r="J195" s="935">
        <v>0</v>
      </c>
      <c r="K195" s="935">
        <v>0</v>
      </c>
      <c r="L195" s="935">
        <v>0</v>
      </c>
      <c r="M195" s="935">
        <v>0</v>
      </c>
      <c r="N195" s="935">
        <v>0</v>
      </c>
      <c r="O195" s="935">
        <v>0</v>
      </c>
      <c r="P195" s="935">
        <v>0</v>
      </c>
      <c r="Q195" s="935">
        <f t="shared" si="18"/>
        <v>0</v>
      </c>
    </row>
    <row r="196" spans="2:17" hidden="1" x14ac:dyDescent="0.2">
      <c r="B196" s="3" t="s">
        <v>244</v>
      </c>
      <c r="C196" s="935">
        <v>0</v>
      </c>
      <c r="D196" s="935">
        <v>0</v>
      </c>
      <c r="E196" s="935">
        <v>0</v>
      </c>
      <c r="F196" s="935">
        <v>0</v>
      </c>
      <c r="G196" s="935">
        <v>0</v>
      </c>
      <c r="H196" s="935">
        <v>0</v>
      </c>
      <c r="I196" s="935">
        <v>0</v>
      </c>
      <c r="J196" s="935">
        <v>0</v>
      </c>
      <c r="K196" s="935">
        <v>0</v>
      </c>
      <c r="L196" s="935">
        <v>0</v>
      </c>
      <c r="M196" s="935">
        <v>0</v>
      </c>
      <c r="N196" s="935">
        <v>0</v>
      </c>
      <c r="O196" s="935">
        <v>0</v>
      </c>
      <c r="P196" s="935">
        <v>0</v>
      </c>
      <c r="Q196" s="935">
        <f t="shared" si="18"/>
        <v>0</v>
      </c>
    </row>
    <row r="197" spans="2:17" hidden="1" x14ac:dyDescent="0.2">
      <c r="B197" s="2" t="s">
        <v>245</v>
      </c>
      <c r="C197" s="935"/>
      <c r="D197" s="935"/>
      <c r="E197" s="935"/>
      <c r="F197" s="935"/>
      <c r="G197" s="935"/>
      <c r="H197" s="935"/>
      <c r="I197" s="935"/>
      <c r="J197" s="935"/>
      <c r="K197" s="935"/>
      <c r="L197" s="935"/>
      <c r="M197" s="935"/>
      <c r="N197" s="935"/>
      <c r="O197" s="935"/>
      <c r="P197" s="935"/>
      <c r="Q197" s="935">
        <f t="shared" si="18"/>
        <v>0</v>
      </c>
    </row>
    <row r="198" spans="2:17" hidden="1" x14ac:dyDescent="0.2">
      <c r="B198" s="3" t="s">
        <v>246</v>
      </c>
      <c r="C198" s="935">
        <v>0</v>
      </c>
      <c r="D198" s="935">
        <v>0</v>
      </c>
      <c r="E198" s="935">
        <v>0</v>
      </c>
      <c r="F198" s="935">
        <v>0</v>
      </c>
      <c r="G198" s="935">
        <v>0</v>
      </c>
      <c r="H198" s="935">
        <v>0</v>
      </c>
      <c r="I198" s="935">
        <v>0</v>
      </c>
      <c r="J198" s="935">
        <v>0</v>
      </c>
      <c r="K198" s="935">
        <v>0</v>
      </c>
      <c r="L198" s="935">
        <v>0</v>
      </c>
      <c r="M198" s="935">
        <v>0</v>
      </c>
      <c r="N198" s="935">
        <v>0</v>
      </c>
      <c r="O198" s="935">
        <v>0</v>
      </c>
      <c r="P198" s="935">
        <v>0</v>
      </c>
      <c r="Q198" s="935">
        <f t="shared" si="18"/>
        <v>0</v>
      </c>
    </row>
    <row r="199" spans="2:17" hidden="1" x14ac:dyDescent="0.2">
      <c r="B199" s="3" t="s">
        <v>247</v>
      </c>
      <c r="C199" s="935">
        <v>0</v>
      </c>
      <c r="D199" s="935">
        <v>0</v>
      </c>
      <c r="E199" s="935">
        <v>0</v>
      </c>
      <c r="F199" s="935">
        <v>0</v>
      </c>
      <c r="G199" s="935">
        <v>0</v>
      </c>
      <c r="H199" s="935">
        <v>0</v>
      </c>
      <c r="I199" s="935">
        <v>0</v>
      </c>
      <c r="J199" s="935">
        <v>0</v>
      </c>
      <c r="K199" s="935">
        <v>0</v>
      </c>
      <c r="L199" s="935">
        <v>0</v>
      </c>
      <c r="M199" s="935">
        <v>0</v>
      </c>
      <c r="N199" s="935">
        <v>0</v>
      </c>
      <c r="O199" s="935">
        <v>0</v>
      </c>
      <c r="P199" s="935">
        <v>0</v>
      </c>
      <c r="Q199" s="935">
        <f t="shared" si="18"/>
        <v>0</v>
      </c>
    </row>
    <row r="200" spans="2:17" hidden="1" x14ac:dyDescent="0.2">
      <c r="B200" s="3" t="s">
        <v>248</v>
      </c>
      <c r="C200" s="935">
        <v>0</v>
      </c>
      <c r="D200" s="935">
        <v>0</v>
      </c>
      <c r="E200" s="935">
        <v>0</v>
      </c>
      <c r="F200" s="935">
        <v>0</v>
      </c>
      <c r="G200" s="935">
        <v>0</v>
      </c>
      <c r="H200" s="935">
        <v>0</v>
      </c>
      <c r="I200" s="935">
        <v>0</v>
      </c>
      <c r="J200" s="935">
        <v>0</v>
      </c>
      <c r="K200" s="935">
        <v>0</v>
      </c>
      <c r="L200" s="935">
        <v>0</v>
      </c>
      <c r="M200" s="935">
        <v>0</v>
      </c>
      <c r="N200" s="935">
        <v>0</v>
      </c>
      <c r="O200" s="935">
        <v>0</v>
      </c>
      <c r="P200" s="935">
        <v>0</v>
      </c>
      <c r="Q200" s="935">
        <f t="shared" si="18"/>
        <v>0</v>
      </c>
    </row>
    <row r="201" spans="2:17" hidden="1" x14ac:dyDescent="0.2">
      <c r="B201" s="3" t="s">
        <v>249</v>
      </c>
      <c r="C201" s="935">
        <v>0</v>
      </c>
      <c r="D201" s="935">
        <v>0</v>
      </c>
      <c r="E201" s="935">
        <v>0</v>
      </c>
      <c r="F201" s="935">
        <v>0</v>
      </c>
      <c r="G201" s="935">
        <v>0</v>
      </c>
      <c r="H201" s="935">
        <v>0</v>
      </c>
      <c r="I201" s="935">
        <v>0</v>
      </c>
      <c r="J201" s="935">
        <v>0</v>
      </c>
      <c r="K201" s="935">
        <v>0</v>
      </c>
      <c r="L201" s="935">
        <v>0</v>
      </c>
      <c r="M201" s="935">
        <v>0</v>
      </c>
      <c r="N201" s="935">
        <v>0</v>
      </c>
      <c r="O201" s="935">
        <v>0</v>
      </c>
      <c r="P201" s="935">
        <v>0</v>
      </c>
      <c r="Q201" s="935">
        <f t="shared" si="18"/>
        <v>0</v>
      </c>
    </row>
    <row r="202" spans="2:17" hidden="1" x14ac:dyDescent="0.2">
      <c r="B202" s="3" t="s">
        <v>250</v>
      </c>
      <c r="C202" s="935">
        <v>0</v>
      </c>
      <c r="D202" s="935">
        <v>0</v>
      </c>
      <c r="E202" s="935">
        <v>0</v>
      </c>
      <c r="F202" s="935">
        <v>0</v>
      </c>
      <c r="G202" s="935">
        <v>0</v>
      </c>
      <c r="H202" s="935">
        <v>0</v>
      </c>
      <c r="I202" s="935">
        <v>0</v>
      </c>
      <c r="J202" s="935">
        <v>0</v>
      </c>
      <c r="K202" s="935">
        <v>0</v>
      </c>
      <c r="L202" s="935">
        <v>0</v>
      </c>
      <c r="M202" s="935">
        <v>0</v>
      </c>
      <c r="N202" s="935">
        <v>0</v>
      </c>
      <c r="O202" s="935">
        <v>0</v>
      </c>
      <c r="P202" s="935">
        <v>0</v>
      </c>
      <c r="Q202" s="935">
        <f t="shared" si="18"/>
        <v>0</v>
      </c>
    </row>
    <row r="203" spans="2:17" hidden="1" x14ac:dyDescent="0.2">
      <c r="B203" s="3" t="s">
        <v>251</v>
      </c>
      <c r="C203" s="935">
        <v>0</v>
      </c>
      <c r="D203" s="935">
        <v>0</v>
      </c>
      <c r="E203" s="935">
        <v>0</v>
      </c>
      <c r="F203" s="935">
        <v>0</v>
      </c>
      <c r="G203" s="935">
        <v>0</v>
      </c>
      <c r="H203" s="935">
        <v>0</v>
      </c>
      <c r="I203" s="935">
        <v>0</v>
      </c>
      <c r="J203" s="935">
        <v>0</v>
      </c>
      <c r="K203" s="935">
        <v>0</v>
      </c>
      <c r="L203" s="935">
        <v>0</v>
      </c>
      <c r="M203" s="935">
        <v>0</v>
      </c>
      <c r="N203" s="935">
        <v>0</v>
      </c>
      <c r="O203" s="935">
        <v>0</v>
      </c>
      <c r="P203" s="935">
        <v>0</v>
      </c>
      <c r="Q203" s="935">
        <f t="shared" si="18"/>
        <v>0</v>
      </c>
    </row>
    <row r="204" spans="2:17" hidden="1" x14ac:dyDescent="0.2">
      <c r="B204" s="3" t="s">
        <v>252</v>
      </c>
      <c r="C204" s="935">
        <v>0</v>
      </c>
      <c r="D204" s="935">
        <v>0</v>
      </c>
      <c r="E204" s="935">
        <v>0</v>
      </c>
      <c r="F204" s="935">
        <v>0</v>
      </c>
      <c r="G204" s="935">
        <v>0</v>
      </c>
      <c r="H204" s="935">
        <v>0</v>
      </c>
      <c r="I204" s="935">
        <v>0</v>
      </c>
      <c r="J204" s="935">
        <v>0</v>
      </c>
      <c r="K204" s="935">
        <v>0</v>
      </c>
      <c r="L204" s="935">
        <v>0</v>
      </c>
      <c r="M204" s="935">
        <v>0</v>
      </c>
      <c r="N204" s="935">
        <v>0</v>
      </c>
      <c r="O204" s="935">
        <v>0</v>
      </c>
      <c r="P204" s="935">
        <v>0</v>
      </c>
      <c r="Q204" s="935">
        <f t="shared" si="18"/>
        <v>0</v>
      </c>
    </row>
    <row r="205" spans="2:17" hidden="1" x14ac:dyDescent="0.2">
      <c r="B205" s="3" t="s">
        <v>253</v>
      </c>
      <c r="C205" s="935">
        <v>0</v>
      </c>
      <c r="D205" s="935">
        <v>0</v>
      </c>
      <c r="E205" s="935">
        <v>0</v>
      </c>
      <c r="F205" s="935">
        <v>0</v>
      </c>
      <c r="G205" s="935">
        <v>0</v>
      </c>
      <c r="H205" s="935">
        <v>0</v>
      </c>
      <c r="I205" s="935">
        <v>0</v>
      </c>
      <c r="J205" s="935">
        <v>0</v>
      </c>
      <c r="K205" s="935">
        <v>0</v>
      </c>
      <c r="L205" s="935">
        <v>0</v>
      </c>
      <c r="M205" s="935">
        <v>0</v>
      </c>
      <c r="N205" s="935">
        <v>0</v>
      </c>
      <c r="O205" s="935">
        <v>0</v>
      </c>
      <c r="P205" s="935">
        <v>0</v>
      </c>
      <c r="Q205" s="935">
        <f t="shared" si="18"/>
        <v>0</v>
      </c>
    </row>
    <row r="206" spans="2:17" hidden="1" x14ac:dyDescent="0.2">
      <c r="B206" s="3" t="s">
        <v>254</v>
      </c>
      <c r="C206" s="935">
        <v>0</v>
      </c>
      <c r="D206" s="935">
        <v>0</v>
      </c>
      <c r="E206" s="935">
        <v>0</v>
      </c>
      <c r="F206" s="935">
        <v>0</v>
      </c>
      <c r="G206" s="935">
        <v>0</v>
      </c>
      <c r="H206" s="935">
        <v>0</v>
      </c>
      <c r="I206" s="935">
        <v>0</v>
      </c>
      <c r="J206" s="935">
        <v>0</v>
      </c>
      <c r="K206" s="935">
        <v>0</v>
      </c>
      <c r="L206" s="935">
        <v>0</v>
      </c>
      <c r="M206" s="935">
        <v>0</v>
      </c>
      <c r="N206" s="935">
        <v>0</v>
      </c>
      <c r="O206" s="935">
        <v>0</v>
      </c>
      <c r="P206" s="935">
        <v>0</v>
      </c>
      <c r="Q206" s="935">
        <f t="shared" si="18"/>
        <v>0</v>
      </c>
    </row>
    <row r="207" spans="2:17" hidden="1" x14ac:dyDescent="0.2">
      <c r="B207" s="3" t="s">
        <v>255</v>
      </c>
      <c r="C207" s="935">
        <v>0</v>
      </c>
      <c r="D207" s="935">
        <v>0</v>
      </c>
      <c r="E207" s="935">
        <v>0</v>
      </c>
      <c r="F207" s="935">
        <v>0</v>
      </c>
      <c r="G207" s="935">
        <v>0</v>
      </c>
      <c r="H207" s="935">
        <v>0</v>
      </c>
      <c r="I207" s="935">
        <v>0</v>
      </c>
      <c r="J207" s="935">
        <v>0</v>
      </c>
      <c r="K207" s="935">
        <v>0</v>
      </c>
      <c r="L207" s="935">
        <v>0</v>
      </c>
      <c r="M207" s="935">
        <v>0</v>
      </c>
      <c r="N207" s="935">
        <v>0</v>
      </c>
      <c r="O207" s="935">
        <v>0</v>
      </c>
      <c r="P207" s="935">
        <v>0</v>
      </c>
      <c r="Q207" s="935">
        <f t="shared" si="18"/>
        <v>0</v>
      </c>
    </row>
    <row r="208" spans="2:17" hidden="1" x14ac:dyDescent="0.2">
      <c r="B208" s="3" t="s">
        <v>256</v>
      </c>
      <c r="C208" s="935">
        <v>0</v>
      </c>
      <c r="D208" s="935">
        <v>0</v>
      </c>
      <c r="E208" s="935">
        <v>0</v>
      </c>
      <c r="F208" s="935">
        <v>0</v>
      </c>
      <c r="G208" s="935">
        <v>0</v>
      </c>
      <c r="H208" s="935">
        <v>0</v>
      </c>
      <c r="I208" s="935">
        <v>0</v>
      </c>
      <c r="J208" s="935">
        <v>0</v>
      </c>
      <c r="K208" s="935">
        <v>0</v>
      </c>
      <c r="L208" s="935">
        <v>0</v>
      </c>
      <c r="M208" s="935">
        <v>0</v>
      </c>
      <c r="N208" s="935">
        <v>0</v>
      </c>
      <c r="O208" s="935">
        <v>0</v>
      </c>
      <c r="P208" s="935">
        <v>0</v>
      </c>
      <c r="Q208" s="935">
        <f t="shared" si="18"/>
        <v>0</v>
      </c>
    </row>
    <row r="209" spans="2:17" hidden="1" x14ac:dyDescent="0.2">
      <c r="B209" s="3" t="s">
        <v>257</v>
      </c>
      <c r="C209" s="935">
        <v>0</v>
      </c>
      <c r="D209" s="935">
        <v>0</v>
      </c>
      <c r="E209" s="935">
        <v>0</v>
      </c>
      <c r="F209" s="935">
        <v>0</v>
      </c>
      <c r="G209" s="935">
        <v>0</v>
      </c>
      <c r="H209" s="935">
        <v>0</v>
      </c>
      <c r="I209" s="935">
        <v>0</v>
      </c>
      <c r="J209" s="935">
        <v>0</v>
      </c>
      <c r="K209" s="935">
        <v>0</v>
      </c>
      <c r="L209" s="935">
        <v>0</v>
      </c>
      <c r="M209" s="935">
        <v>0</v>
      </c>
      <c r="N209" s="935">
        <v>0</v>
      </c>
      <c r="O209" s="935">
        <v>0</v>
      </c>
      <c r="P209" s="935">
        <v>0</v>
      </c>
      <c r="Q209" s="935">
        <f t="shared" si="18"/>
        <v>0</v>
      </c>
    </row>
    <row r="210" spans="2:17" hidden="1" x14ac:dyDescent="0.2">
      <c r="B210" s="3" t="s">
        <v>258</v>
      </c>
      <c r="C210" s="935">
        <v>0</v>
      </c>
      <c r="D210" s="935">
        <v>0</v>
      </c>
      <c r="E210" s="935">
        <v>0</v>
      </c>
      <c r="F210" s="935">
        <v>0</v>
      </c>
      <c r="G210" s="935">
        <v>0</v>
      </c>
      <c r="H210" s="935">
        <v>0</v>
      </c>
      <c r="I210" s="935">
        <v>0</v>
      </c>
      <c r="J210" s="935">
        <v>0</v>
      </c>
      <c r="K210" s="935">
        <v>0</v>
      </c>
      <c r="L210" s="935">
        <v>0</v>
      </c>
      <c r="M210" s="935">
        <v>0</v>
      </c>
      <c r="N210" s="935">
        <v>0</v>
      </c>
      <c r="O210" s="935">
        <v>0</v>
      </c>
      <c r="P210" s="935">
        <v>0</v>
      </c>
      <c r="Q210" s="935">
        <f t="shared" si="18"/>
        <v>0</v>
      </c>
    </row>
    <row r="211" spans="2:17" x14ac:dyDescent="0.2">
      <c r="B211" s="3" t="s">
        <v>259</v>
      </c>
      <c r="C211" s="935">
        <v>0</v>
      </c>
      <c r="D211" s="935">
        <v>0</v>
      </c>
      <c r="E211" s="935">
        <v>0</v>
      </c>
      <c r="F211" s="935">
        <v>0</v>
      </c>
      <c r="G211" s="935">
        <v>0</v>
      </c>
      <c r="H211" s="935">
        <v>0</v>
      </c>
      <c r="I211" s="935">
        <v>0</v>
      </c>
      <c r="J211" s="935">
        <v>0</v>
      </c>
      <c r="K211" s="935">
        <v>0</v>
      </c>
      <c r="L211" s="935">
        <v>0</v>
      </c>
      <c r="M211" s="935">
        <v>0</v>
      </c>
      <c r="N211" s="935">
        <v>0</v>
      </c>
      <c r="O211" s="935">
        <v>12000</v>
      </c>
      <c r="P211" s="935">
        <v>0</v>
      </c>
      <c r="Q211" s="935">
        <f t="shared" si="18"/>
        <v>12000</v>
      </c>
    </row>
    <row r="212" spans="2:17" x14ac:dyDescent="0.2">
      <c r="B212" s="3" t="s">
        <v>260</v>
      </c>
      <c r="C212" s="935">
        <v>0</v>
      </c>
      <c r="D212" s="935">
        <v>0</v>
      </c>
      <c r="E212" s="935">
        <v>0</v>
      </c>
      <c r="F212" s="935">
        <v>0</v>
      </c>
      <c r="G212" s="935">
        <v>0</v>
      </c>
      <c r="H212" s="935">
        <v>0</v>
      </c>
      <c r="I212" s="935">
        <v>0</v>
      </c>
      <c r="J212" s="935">
        <v>0</v>
      </c>
      <c r="K212" s="935">
        <v>0</v>
      </c>
      <c r="L212" s="935">
        <v>0</v>
      </c>
      <c r="M212" s="935">
        <v>0</v>
      </c>
      <c r="N212" s="935">
        <v>240000</v>
      </c>
      <c r="O212" s="935">
        <v>0</v>
      </c>
      <c r="P212" s="935">
        <v>0</v>
      </c>
      <c r="Q212" s="935">
        <f t="shared" si="18"/>
        <v>240000</v>
      </c>
    </row>
    <row r="213" spans="2:17" x14ac:dyDescent="0.2">
      <c r="Q213" s="933">
        <f t="shared" si="18"/>
        <v>0</v>
      </c>
    </row>
  </sheetData>
  <pageMargins left="0.7" right="0.7" top="0.75" bottom="0.75" header="0.3" footer="0.3"/>
  <pageSetup scale="52" orientation="portrait" r:id="rId1"/>
  <colBreaks count="1" manualBreakCount="1">
    <brk id="9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DA53-6845-4B6A-8FF7-72CBAFD09F1C}">
  <sheetPr>
    <tabColor rgb="FFFF0000"/>
  </sheetPr>
  <dimension ref="A1:I85"/>
  <sheetViews>
    <sheetView showGridLines="0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62" customWidth="1"/>
    <col min="2" max="2" width="12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43.7109375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640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641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>
        <v>0</v>
      </c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0</v>
      </c>
      <c r="I8" s="92"/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>
        <v>0</v>
      </c>
      <c r="I9" s="92"/>
    </row>
    <row r="10" spans="1:9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>
        <v>0</v>
      </c>
      <c r="I10" s="92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91">
        <v>0</v>
      </c>
      <c r="I11" s="92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0</v>
      </c>
      <c r="G12" s="90">
        <v>0</v>
      </c>
      <c r="H12" s="91">
        <v>0</v>
      </c>
      <c r="I12" s="92"/>
    </row>
    <row r="13" spans="1:9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0</v>
      </c>
      <c r="G13" s="90">
        <v>0</v>
      </c>
      <c r="H13" s="91">
        <v>0</v>
      </c>
      <c r="I13" s="92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>
        <v>0</v>
      </c>
      <c r="I14" s="92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91">
        <v>319564</v>
      </c>
      <c r="I15" s="92" t="s">
        <v>642</v>
      </c>
    </row>
    <row r="16" spans="1:9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0</v>
      </c>
      <c r="G16" s="90">
        <v>0</v>
      </c>
      <c r="H16" s="91">
        <v>7500</v>
      </c>
      <c r="I16" s="92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/>
      <c r="I17" s="92"/>
    </row>
    <row r="18" spans="1:9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0</v>
      </c>
      <c r="G18" s="90">
        <v>0</v>
      </c>
      <c r="H18" s="91">
        <v>68113</v>
      </c>
      <c r="I18" s="92"/>
    </row>
    <row r="19" spans="1:9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>
        <v>0</v>
      </c>
      <c r="G19" s="90">
        <v>0</v>
      </c>
      <c r="H19" s="91">
        <v>21000</v>
      </c>
      <c r="I19" s="92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0</v>
      </c>
      <c r="G20" s="90">
        <v>0</v>
      </c>
      <c r="H20" s="91">
        <v>161678</v>
      </c>
      <c r="I20" s="92"/>
    </row>
    <row r="21" spans="1:9" hidden="1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>
        <v>0</v>
      </c>
      <c r="G21" s="90">
        <v>0</v>
      </c>
      <c r="H21" s="91"/>
      <c r="I21" s="92"/>
    </row>
    <row r="22" spans="1:9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0</v>
      </c>
      <c r="G22" s="90">
        <v>0</v>
      </c>
      <c r="H22" s="91">
        <v>210751</v>
      </c>
      <c r="I22" s="92"/>
    </row>
    <row r="23" spans="1:9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>
        <v>0</v>
      </c>
      <c r="G23" s="90">
        <v>0</v>
      </c>
      <c r="H23" s="91">
        <v>16980</v>
      </c>
      <c r="I23" s="92"/>
    </row>
    <row r="24" spans="1:9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>
        <v>40556</v>
      </c>
      <c r="I24" s="92"/>
    </row>
    <row r="25" spans="1:9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>
        <v>9190</v>
      </c>
      <c r="I25" s="92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/>
      <c r="I26" s="92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/>
      <c r="I27" s="92"/>
    </row>
    <row r="28" spans="1:9" hidden="1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>
        <v>0</v>
      </c>
      <c r="G28" s="90">
        <v>0</v>
      </c>
      <c r="H28" s="91"/>
      <c r="I28" s="92"/>
    </row>
    <row r="29" spans="1:9" hidden="1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>
        <v>0</v>
      </c>
      <c r="G29" s="90">
        <v>0</v>
      </c>
      <c r="H29" s="91"/>
      <c r="I29" s="92"/>
    </row>
    <row r="30" spans="1:9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0</v>
      </c>
      <c r="G30" s="90">
        <v>0</v>
      </c>
      <c r="H30" s="91">
        <v>89254</v>
      </c>
      <c r="I30" s="92"/>
    </row>
    <row r="31" spans="1:9" hidden="1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0</v>
      </c>
      <c r="G31" s="90">
        <v>0</v>
      </c>
      <c r="H31" s="91"/>
      <c r="I31" s="92"/>
    </row>
    <row r="32" spans="1:9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0</v>
      </c>
      <c r="G32" s="90">
        <v>0</v>
      </c>
      <c r="H32" s="91">
        <v>70040</v>
      </c>
      <c r="I32" s="92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0</v>
      </c>
      <c r="G33" s="104">
        <f>SUM(G6:G32)</f>
        <v>0</v>
      </c>
      <c r="H33" s="106">
        <f>SUM(H6:H32)</f>
        <v>1014626</v>
      </c>
      <c r="I33" s="107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112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>
        <v>0</v>
      </c>
      <c r="G35" s="90">
        <v>0</v>
      </c>
      <c r="H35" s="91">
        <v>0</v>
      </c>
      <c r="I35" s="92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26500709.679257866</v>
      </c>
      <c r="G36" s="90">
        <v>0</v>
      </c>
      <c r="H36" s="91">
        <v>0</v>
      </c>
      <c r="I36" s="12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>
        <v>0</v>
      </c>
      <c r="G37" s="90">
        <v>0</v>
      </c>
      <c r="H37" s="91">
        <v>0</v>
      </c>
      <c r="I37" s="92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4882432.506138904</v>
      </c>
      <c r="G38" s="90">
        <v>0</v>
      </c>
      <c r="H38" s="91">
        <v>0</v>
      </c>
      <c r="I38" s="12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540560.3489619738</v>
      </c>
      <c r="G39" s="90">
        <v>0</v>
      </c>
      <c r="H39" s="91">
        <v>0</v>
      </c>
      <c r="I39" s="92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531806.09459200408</v>
      </c>
      <c r="G40" s="90">
        <v>0</v>
      </c>
      <c r="H40" s="91">
        <v>0</v>
      </c>
      <c r="I40" s="92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>
        <v>0</v>
      </c>
      <c r="G41" s="90">
        <v>0</v>
      </c>
      <c r="H41" s="91">
        <v>0</v>
      </c>
      <c r="I41" s="92"/>
    </row>
    <row r="42" spans="1:9" s="130" customFormat="1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>
        <v>2929717</v>
      </c>
      <c r="G42" s="306">
        <v>0</v>
      </c>
      <c r="H42" s="307">
        <v>103258</v>
      </c>
      <c r="I42" s="129"/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>
        <v>0</v>
      </c>
      <c r="G43" s="90">
        <v>0</v>
      </c>
      <c r="H43" s="91">
        <v>0</v>
      </c>
      <c r="I43" s="92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2380689</v>
      </c>
      <c r="G44" s="90">
        <v>0</v>
      </c>
      <c r="H44" s="91">
        <v>0</v>
      </c>
      <c r="I44" s="92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>
        <v>0</v>
      </c>
      <c r="G45" s="90">
        <v>0</v>
      </c>
      <c r="H45" s="91">
        <v>133669</v>
      </c>
      <c r="I45" s="92"/>
    </row>
    <row r="46" spans="1:9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>
        <v>0</v>
      </c>
      <c r="G46" s="90">
        <v>0</v>
      </c>
      <c r="H46" s="91">
        <v>0</v>
      </c>
      <c r="I46" s="92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>
        <v>0</v>
      </c>
      <c r="G47" s="90">
        <v>0</v>
      </c>
      <c r="H47" s="91">
        <v>0</v>
      </c>
      <c r="I47" s="133"/>
    </row>
    <row r="48" spans="1:9" hidden="1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>
        <v>0</v>
      </c>
      <c r="G48" s="90">
        <v>0</v>
      </c>
      <c r="H48" s="91">
        <v>0</v>
      </c>
      <c r="I48" s="92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37765914.628950745</v>
      </c>
      <c r="G49" s="104">
        <f>SUM(G34:G48)</f>
        <v>0</v>
      </c>
      <c r="H49" s="106">
        <f>SUM(H34:H48)</f>
        <v>236927</v>
      </c>
      <c r="I49" s="107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112"/>
    </row>
    <row r="51" spans="1:9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0</v>
      </c>
      <c r="G51" s="143">
        <v>0</v>
      </c>
      <c r="H51" s="111">
        <v>77270</v>
      </c>
      <c r="I51" s="92"/>
    </row>
    <row r="52" spans="1:9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>
        <v>0</v>
      </c>
      <c r="G52" s="143">
        <v>0</v>
      </c>
      <c r="H52" s="111">
        <v>75000</v>
      </c>
      <c r="I52" s="92"/>
    </row>
    <row r="53" spans="1:9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>
        <v>0</v>
      </c>
      <c r="G53" s="143">
        <v>0</v>
      </c>
      <c r="H53" s="111">
        <v>19781</v>
      </c>
      <c r="I53" s="92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v>0</v>
      </c>
      <c r="G54" s="143">
        <v>0</v>
      </c>
      <c r="H54" s="111">
        <v>3602297</v>
      </c>
      <c r="I54" s="92"/>
    </row>
    <row r="55" spans="1:9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>
        <v>0</v>
      </c>
      <c r="G55" s="143">
        <v>0</v>
      </c>
      <c r="H55" s="111">
        <v>678127</v>
      </c>
      <c r="I55" s="92"/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>
        <v>0</v>
      </c>
      <c r="G56" s="143">
        <v>0</v>
      </c>
      <c r="H56" s="111">
        <v>0</v>
      </c>
      <c r="I56" s="92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0</v>
      </c>
      <c r="G57" s="104">
        <f t="shared" si="0"/>
        <v>0</v>
      </c>
      <c r="H57" s="106">
        <f t="shared" si="0"/>
        <v>4452475</v>
      </c>
      <c r="I57" s="107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112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>
        <v>0</v>
      </c>
      <c r="G59" s="143">
        <v>0</v>
      </c>
      <c r="H59" s="111">
        <v>0</v>
      </c>
      <c r="I59" s="92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>
        <v>0</v>
      </c>
      <c r="G60" s="143">
        <v>0</v>
      </c>
      <c r="H60" s="111">
        <v>0</v>
      </c>
      <c r="I60" s="92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>
        <v>0</v>
      </c>
      <c r="G61" s="143">
        <v>0</v>
      </c>
      <c r="H61" s="111">
        <v>0</v>
      </c>
      <c r="I61" s="92"/>
    </row>
    <row r="62" spans="1:9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0</v>
      </c>
      <c r="G62" s="143">
        <v>0</v>
      </c>
      <c r="H62" s="111">
        <v>0</v>
      </c>
      <c r="I62" s="92"/>
    </row>
    <row r="63" spans="1:9" hidden="1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>
        <v>0</v>
      </c>
      <c r="G63" s="143">
        <v>0</v>
      </c>
      <c r="H63" s="111">
        <v>0</v>
      </c>
      <c r="I63" s="92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92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92"/>
    </row>
    <row r="66" spans="1:9" hidden="1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>
        <v>0</v>
      </c>
      <c r="G66" s="143">
        <v>0</v>
      </c>
      <c r="H66" s="111">
        <v>0</v>
      </c>
      <c r="I66" s="92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0</v>
      </c>
      <c r="G67" s="157">
        <f>SUM(G58:G66)</f>
        <v>0</v>
      </c>
      <c r="H67" s="159">
        <f>SUM(H58:H66)</f>
        <v>0</v>
      </c>
      <c r="I67" s="92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92"/>
    </row>
    <row r="69" spans="1:9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2573136</v>
      </c>
      <c r="G69" s="143">
        <v>0</v>
      </c>
      <c r="H69" s="111"/>
      <c r="I69" s="92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3663237</v>
      </c>
      <c r="G70" s="143">
        <v>0</v>
      </c>
      <c r="H70" s="111">
        <v>3048455</v>
      </c>
      <c r="I70" s="92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6236373</v>
      </c>
      <c r="G71" s="157">
        <f t="shared" si="1"/>
        <v>0</v>
      </c>
      <c r="H71" s="159">
        <f>SUM(H69:H70)</f>
        <v>3048455</v>
      </c>
      <c r="I71" s="92"/>
    </row>
    <row r="72" spans="1:9" hidden="1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92"/>
    </row>
    <row r="73" spans="1:9" hidden="1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92"/>
    </row>
    <row r="74" spans="1:9" ht="15.75" thickBot="1" x14ac:dyDescent="0.3">
      <c r="A74" s="169" t="s">
        <v>423</v>
      </c>
      <c r="B74" s="170"/>
      <c r="C74" s="171"/>
      <c r="D74" s="172">
        <f>'PCFP - All Revenue AA-1 R-8'!D33+'PCFP - All Revenue AA-1 R-8'!D49+'PCFP - All Revenue AA-1 R-8'!D57+'PCFP - All Revenue AA-1 R-8'!D71+'PCFP - All Revenue AA-1 R-8'!D67</f>
        <v>0</v>
      </c>
      <c r="E74" s="172">
        <f>'PCFP - All Revenue AA-1 R-8'!E33+'PCFP - All Revenue AA-1 R-8'!E49+'PCFP - All Revenue AA-1 R-8'!E57+'PCFP - All Revenue AA-1 R-8'!E71+'PCFP - All Revenue AA-1 R-8'!E67</f>
        <v>0</v>
      </c>
      <c r="F74" s="173">
        <f>'PCFP - All Revenue AA-1 R-8'!F33+'PCFP - All Revenue AA-1 R-8'!F49+'PCFP - All Revenue AA-1 R-8'!F57+'PCFP - All Revenue AA-1 R-8'!F71+'PCFP - All Revenue AA-1 R-8'!F67</f>
        <v>44002287.628950745</v>
      </c>
      <c r="G74" s="172">
        <f>'PCFP - All Revenue AA-1 R-8'!G33+'PCFP - All Revenue AA-1 R-8'!G49+'PCFP - All Revenue AA-1 R-8'!G57+'PCFP - All Revenue AA-1 R-8'!G71+'PCFP - All Revenue AA-1 R-8'!G67</f>
        <v>0</v>
      </c>
      <c r="H74" s="174">
        <f>'PCFP - All Revenue AA-1 R-8'!H33+'PCFP - All Revenue AA-1 R-8'!H49+'PCFP - All Revenue AA-1 R-8'!H57+'PCFP - All Revenue AA-1 R-8'!H71+'PCFP - All Revenue AA-1 R-8'!H67</f>
        <v>8752483</v>
      </c>
      <c r="I74" s="92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44"/>
      <c r="G75" s="143"/>
      <c r="H75" s="111">
        <v>0</v>
      </c>
      <c r="I75" s="92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44"/>
      <c r="G76" s="143"/>
      <c r="H76" s="111">
        <v>0</v>
      </c>
      <c r="I76" s="92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44"/>
      <c r="G77" s="143"/>
      <c r="H77" s="111">
        <v>0</v>
      </c>
      <c r="I77" s="92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92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7">
        <f t="shared" si="2"/>
        <v>0</v>
      </c>
      <c r="G79" s="187">
        <f t="shared" si="2"/>
        <v>0</v>
      </c>
      <c r="H79" s="187">
        <f>SUM(H75:H78)</f>
        <v>0</v>
      </c>
    </row>
    <row r="80" spans="1:9" x14ac:dyDescent="0.2">
      <c r="A80" s="189"/>
      <c r="B80" s="189"/>
      <c r="C80" s="190"/>
      <c r="D80" s="190"/>
      <c r="E80" s="190"/>
      <c r="F80" s="190"/>
      <c r="G80" s="190"/>
      <c r="H80" s="190"/>
    </row>
    <row r="81" spans="1:8" x14ac:dyDescent="0.2">
      <c r="A81" s="94"/>
      <c r="B81" s="94"/>
      <c r="C81" s="191" t="str">
        <f>C1</f>
        <v>Humboldt County School District</v>
      </c>
      <c r="D81" s="190" t="s">
        <v>428</v>
      </c>
      <c r="E81" s="190"/>
      <c r="F81" s="195"/>
      <c r="G81" s="196"/>
      <c r="H81" s="190"/>
    </row>
    <row r="82" spans="1:8" x14ac:dyDescent="0.2">
      <c r="A82" s="98"/>
      <c r="B82" s="98"/>
      <c r="C82" s="193" t="s">
        <v>429</v>
      </c>
      <c r="D82" s="189" t="s">
        <v>430</v>
      </c>
      <c r="E82" s="190"/>
      <c r="F82" s="190"/>
      <c r="G82" s="192" t="str">
        <f>"Budget Fiscal Year "&amp;TEXT('[8]Form 1'!$C$136, "mm/dd/yy")</f>
        <v>Budget Fiscal Year 2019-2020</v>
      </c>
      <c r="H82" s="190"/>
    </row>
    <row r="83" spans="1:8" x14ac:dyDescent="0.2">
      <c r="A83" s="189"/>
      <c r="B83" s="189"/>
      <c r="C83" s="190"/>
      <c r="D83" s="190"/>
      <c r="E83" s="190"/>
      <c r="F83" s="194"/>
      <c r="G83" s="192" t="s">
        <v>431</v>
      </c>
      <c r="H83" s="197"/>
    </row>
    <row r="84" spans="1:8" x14ac:dyDescent="0.2">
      <c r="A84" s="189"/>
      <c r="B84" s="189"/>
      <c r="C84" s="190"/>
      <c r="D84" s="190"/>
      <c r="E84" s="190"/>
      <c r="H84" s="192"/>
    </row>
    <row r="85" spans="1:8" x14ac:dyDescent="0.2">
      <c r="A85" s="189"/>
      <c r="B85" s="189"/>
      <c r="C85" s="190"/>
      <c r="D85" s="190"/>
      <c r="E85" s="190"/>
      <c r="H85" s="192"/>
    </row>
  </sheetData>
  <pageMargins left="0.2" right="0.2" top="0.25" bottom="0.25" header="0.05" footer="0.05"/>
  <pageSetup paperSize="5" scale="66" fitToHeight="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3525-2E3D-46BC-B7AC-E4CF46A307AA}">
  <sheetPr>
    <tabColor rgb="FFFFFF00"/>
    <pageSetUpPr fitToPage="1"/>
  </sheetPr>
  <dimension ref="A1:L153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27.570312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10109549</v>
      </c>
      <c r="D3" s="89">
        <v>5167598</v>
      </c>
      <c r="E3" s="89">
        <v>1679270</v>
      </c>
      <c r="F3" s="89" t="s">
        <v>451</v>
      </c>
      <c r="G3" s="89" t="s">
        <v>452</v>
      </c>
      <c r="H3" s="89" t="s">
        <v>393</v>
      </c>
      <c r="I3" s="214" t="s">
        <v>455</v>
      </c>
      <c r="J3" s="89">
        <f>SUM(C3:I3)</f>
        <v>16956417</v>
      </c>
      <c r="K3" s="92"/>
    </row>
    <row r="4" spans="1:11" x14ac:dyDescent="0.2">
      <c r="A4" s="116">
        <v>200</v>
      </c>
      <c r="B4" s="95" t="s">
        <v>135</v>
      </c>
      <c r="C4" s="89" t="s">
        <v>393</v>
      </c>
      <c r="D4" s="89" t="s">
        <v>498</v>
      </c>
      <c r="E4" s="89" t="s">
        <v>450</v>
      </c>
      <c r="F4" s="89" t="s">
        <v>451</v>
      </c>
      <c r="G4" s="89" t="s">
        <v>452</v>
      </c>
      <c r="H4" s="89" t="s">
        <v>393</v>
      </c>
      <c r="I4" s="214" t="s">
        <v>455</v>
      </c>
      <c r="J4" s="89">
        <f t="shared" ref="J4:J67" si="0">SUM(C4:I4)</f>
        <v>0</v>
      </c>
      <c r="K4" s="92"/>
    </row>
    <row r="5" spans="1:11" x14ac:dyDescent="0.2">
      <c r="A5" s="210" t="s">
        <v>10</v>
      </c>
      <c r="B5" s="211" t="s">
        <v>136</v>
      </c>
      <c r="C5" s="89" t="s">
        <v>393</v>
      </c>
      <c r="D5" s="89" t="s">
        <v>498</v>
      </c>
      <c r="E5" s="89" t="s">
        <v>450</v>
      </c>
      <c r="F5" s="89" t="s">
        <v>451</v>
      </c>
      <c r="G5" s="89" t="s">
        <v>452</v>
      </c>
      <c r="H5" s="89" t="s">
        <v>393</v>
      </c>
      <c r="I5" s="214" t="s">
        <v>455</v>
      </c>
      <c r="J5" s="89">
        <f t="shared" si="0"/>
        <v>0</v>
      </c>
      <c r="K5" s="212"/>
    </row>
    <row r="6" spans="1:11" x14ac:dyDescent="0.2">
      <c r="A6" s="116">
        <v>270</v>
      </c>
      <c r="B6" s="95" t="s">
        <v>137</v>
      </c>
      <c r="C6" s="89" t="s">
        <v>393</v>
      </c>
      <c r="D6" s="89" t="s">
        <v>498</v>
      </c>
      <c r="E6" s="89" t="s">
        <v>450</v>
      </c>
      <c r="F6" s="89" t="s">
        <v>451</v>
      </c>
      <c r="G6" s="89" t="s">
        <v>452</v>
      </c>
      <c r="H6" s="89" t="s">
        <v>393</v>
      </c>
      <c r="I6" s="214" t="s">
        <v>455</v>
      </c>
      <c r="J6" s="89">
        <f t="shared" si="0"/>
        <v>0</v>
      </c>
      <c r="K6" s="92"/>
    </row>
    <row r="7" spans="1:11" x14ac:dyDescent="0.2">
      <c r="A7" s="210" t="s">
        <v>10</v>
      </c>
      <c r="B7" s="211" t="s">
        <v>138</v>
      </c>
      <c r="C7" s="89" t="s">
        <v>393</v>
      </c>
      <c r="D7" s="89" t="s">
        <v>498</v>
      </c>
      <c r="E7" s="89" t="s">
        <v>450</v>
      </c>
      <c r="F7" s="89" t="s">
        <v>451</v>
      </c>
      <c r="G7" s="89" t="s">
        <v>452</v>
      </c>
      <c r="H7" s="89" t="s">
        <v>393</v>
      </c>
      <c r="I7" s="214" t="s">
        <v>455</v>
      </c>
      <c r="J7" s="89">
        <f t="shared" si="0"/>
        <v>0</v>
      </c>
      <c r="K7" s="212"/>
    </row>
    <row r="8" spans="1:11" x14ac:dyDescent="0.2">
      <c r="A8" s="116">
        <v>300</v>
      </c>
      <c r="B8" s="95" t="s">
        <v>139</v>
      </c>
      <c r="C8" s="89">
        <v>721645</v>
      </c>
      <c r="D8" s="89">
        <v>303717</v>
      </c>
      <c r="E8" s="89">
        <v>46790</v>
      </c>
      <c r="F8" s="89" t="s">
        <v>451</v>
      </c>
      <c r="G8" s="89" t="s">
        <v>452</v>
      </c>
      <c r="H8" s="89" t="s">
        <v>393</v>
      </c>
      <c r="I8" s="214" t="s">
        <v>455</v>
      </c>
      <c r="J8" s="89">
        <f t="shared" si="0"/>
        <v>1072152</v>
      </c>
      <c r="K8" s="92"/>
    </row>
    <row r="9" spans="1:11" x14ac:dyDescent="0.2">
      <c r="A9" s="116">
        <v>400</v>
      </c>
      <c r="B9" s="95" t="s">
        <v>140</v>
      </c>
      <c r="C9" s="89">
        <v>655086</v>
      </c>
      <c r="D9" s="89">
        <v>316349</v>
      </c>
      <c r="E9" s="89">
        <v>41720</v>
      </c>
      <c r="F9" s="89" t="s">
        <v>451</v>
      </c>
      <c r="G9" s="89" t="s">
        <v>452</v>
      </c>
      <c r="H9" s="89" t="s">
        <v>393</v>
      </c>
      <c r="I9" s="214" t="s">
        <v>455</v>
      </c>
      <c r="J9" s="89">
        <f t="shared" si="0"/>
        <v>1013155</v>
      </c>
      <c r="K9" s="92"/>
    </row>
    <row r="10" spans="1:11" x14ac:dyDescent="0.2">
      <c r="A10" s="210" t="s">
        <v>10</v>
      </c>
      <c r="B10" s="211" t="s">
        <v>141</v>
      </c>
      <c r="C10" s="89" t="s">
        <v>393</v>
      </c>
      <c r="D10" s="89" t="s">
        <v>498</v>
      </c>
      <c r="E10" s="89" t="s">
        <v>450</v>
      </c>
      <c r="F10" s="89" t="s">
        <v>451</v>
      </c>
      <c r="G10" s="89" t="s">
        <v>452</v>
      </c>
      <c r="H10" s="89" t="s">
        <v>393</v>
      </c>
      <c r="I10" s="214" t="s">
        <v>455</v>
      </c>
      <c r="J10" s="89">
        <f t="shared" si="0"/>
        <v>0</v>
      </c>
      <c r="K10" s="212"/>
    </row>
    <row r="11" spans="1:11" x14ac:dyDescent="0.2">
      <c r="A11" s="210" t="s">
        <v>10</v>
      </c>
      <c r="B11" s="211" t="s">
        <v>142</v>
      </c>
      <c r="C11" s="89" t="s">
        <v>393</v>
      </c>
      <c r="D11" s="89" t="s">
        <v>498</v>
      </c>
      <c r="E11" s="89" t="s">
        <v>450</v>
      </c>
      <c r="F11" s="89" t="s">
        <v>451</v>
      </c>
      <c r="G11" s="89" t="s">
        <v>452</v>
      </c>
      <c r="H11" s="89" t="s">
        <v>393</v>
      </c>
      <c r="I11" s="214" t="s">
        <v>455</v>
      </c>
      <c r="J11" s="89">
        <f t="shared" si="0"/>
        <v>0</v>
      </c>
      <c r="K11" s="212"/>
    </row>
    <row r="12" spans="1:11" x14ac:dyDescent="0.2">
      <c r="A12" s="116">
        <v>440</v>
      </c>
      <c r="B12" s="95" t="s">
        <v>143</v>
      </c>
      <c r="C12" s="89">
        <v>25490</v>
      </c>
      <c r="D12" s="89">
        <v>1895</v>
      </c>
      <c r="E12" s="89" t="s">
        <v>450</v>
      </c>
      <c r="F12" s="89" t="s">
        <v>451</v>
      </c>
      <c r="G12" s="89" t="s">
        <v>452</v>
      </c>
      <c r="H12" s="89" t="s">
        <v>393</v>
      </c>
      <c r="I12" s="214" t="s">
        <v>455</v>
      </c>
      <c r="J12" s="89">
        <f t="shared" si="0"/>
        <v>27385</v>
      </c>
      <c r="K12" s="92"/>
    </row>
    <row r="13" spans="1:11" x14ac:dyDescent="0.2">
      <c r="A13" s="116">
        <v>500</v>
      </c>
      <c r="B13" s="95" t="s">
        <v>144</v>
      </c>
      <c r="C13" s="89" t="s">
        <v>393</v>
      </c>
      <c r="D13" s="89" t="s">
        <v>498</v>
      </c>
      <c r="E13" s="89" t="s">
        <v>450</v>
      </c>
      <c r="F13" s="89" t="s">
        <v>451</v>
      </c>
      <c r="G13" s="89" t="s">
        <v>452</v>
      </c>
      <c r="H13" s="89" t="s">
        <v>393</v>
      </c>
      <c r="I13" s="214" t="s">
        <v>455</v>
      </c>
      <c r="J13" s="89">
        <f t="shared" si="0"/>
        <v>0</v>
      </c>
      <c r="K13" s="92"/>
    </row>
    <row r="14" spans="1:11" x14ac:dyDescent="0.2">
      <c r="A14" s="116">
        <v>600</v>
      </c>
      <c r="B14" s="95" t="s">
        <v>145</v>
      </c>
      <c r="C14" s="89" t="s">
        <v>393</v>
      </c>
      <c r="D14" s="89" t="s">
        <v>498</v>
      </c>
      <c r="E14" s="89" t="s">
        <v>450</v>
      </c>
      <c r="F14" s="89" t="s">
        <v>451</v>
      </c>
      <c r="G14" s="89" t="s">
        <v>452</v>
      </c>
      <c r="H14" s="89" t="s">
        <v>393</v>
      </c>
      <c r="I14" s="214" t="s">
        <v>455</v>
      </c>
      <c r="J14" s="89">
        <f t="shared" si="0"/>
        <v>0</v>
      </c>
      <c r="K14" s="92"/>
    </row>
    <row r="15" spans="1:11" x14ac:dyDescent="0.2">
      <c r="A15" s="116">
        <v>800</v>
      </c>
      <c r="B15" s="95" t="s">
        <v>146</v>
      </c>
      <c r="C15" s="89" t="s">
        <v>393</v>
      </c>
      <c r="D15" s="89" t="s">
        <v>498</v>
      </c>
      <c r="E15" s="89" t="s">
        <v>450</v>
      </c>
      <c r="F15" s="89" t="s">
        <v>451</v>
      </c>
      <c r="G15" s="89" t="s">
        <v>452</v>
      </c>
      <c r="H15" s="89" t="s">
        <v>393</v>
      </c>
      <c r="I15" s="214" t="s">
        <v>455</v>
      </c>
      <c r="J15" s="89">
        <f t="shared" si="0"/>
        <v>0</v>
      </c>
      <c r="K15" s="92"/>
    </row>
    <row r="16" spans="1:11" x14ac:dyDescent="0.2">
      <c r="A16" s="116">
        <v>910</v>
      </c>
      <c r="B16" s="95" t="s">
        <v>147</v>
      </c>
      <c r="C16" s="89">
        <v>102239</v>
      </c>
      <c r="D16" s="89">
        <v>4565</v>
      </c>
      <c r="E16" s="89">
        <v>18050</v>
      </c>
      <c r="F16" s="89" t="s">
        <v>451</v>
      </c>
      <c r="G16" s="89" t="s">
        <v>452</v>
      </c>
      <c r="H16" s="89" t="s">
        <v>393</v>
      </c>
      <c r="I16" s="214" t="s">
        <v>455</v>
      </c>
      <c r="J16" s="89">
        <f t="shared" si="0"/>
        <v>124854</v>
      </c>
      <c r="K16" s="92"/>
    </row>
    <row r="17" spans="1:11" x14ac:dyDescent="0.2">
      <c r="A17" s="116">
        <v>920</v>
      </c>
      <c r="B17" s="95" t="s">
        <v>148</v>
      </c>
      <c r="C17" s="89">
        <v>303685</v>
      </c>
      <c r="D17" s="89">
        <v>28663</v>
      </c>
      <c r="E17" s="89">
        <v>322901</v>
      </c>
      <c r="F17" s="89" t="s">
        <v>451</v>
      </c>
      <c r="G17" s="89" t="s">
        <v>452</v>
      </c>
      <c r="H17" s="89" t="s">
        <v>393</v>
      </c>
      <c r="I17" s="214" t="s">
        <v>455</v>
      </c>
      <c r="J17" s="89">
        <f t="shared" si="0"/>
        <v>655249</v>
      </c>
      <c r="K17" s="92"/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x14ac:dyDescent="0.25">
      <c r="A20" s="215" t="s">
        <v>443</v>
      </c>
      <c r="B20" s="216" t="s">
        <v>444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0</v>
      </c>
      <c r="K20" s="92"/>
    </row>
    <row r="21" spans="1:11" x14ac:dyDescent="0.2">
      <c r="A21" s="116">
        <v>2100</v>
      </c>
      <c r="B21" s="95" t="s">
        <v>151</v>
      </c>
      <c r="C21" s="89">
        <v>917952</v>
      </c>
      <c r="D21" s="89">
        <v>523945</v>
      </c>
      <c r="E21" s="89">
        <v>30270</v>
      </c>
      <c r="F21" s="89" t="s">
        <v>451</v>
      </c>
      <c r="G21" s="89" t="s">
        <v>452</v>
      </c>
      <c r="H21" s="89" t="s">
        <v>393</v>
      </c>
      <c r="I21" s="214" t="s">
        <v>455</v>
      </c>
      <c r="J21" s="89">
        <f t="shared" si="0"/>
        <v>1472167</v>
      </c>
      <c r="K21" s="92"/>
    </row>
    <row r="22" spans="1:11" x14ac:dyDescent="0.2">
      <c r="A22" s="116">
        <v>2200</v>
      </c>
      <c r="B22" s="95" t="s">
        <v>152</v>
      </c>
      <c r="C22" s="89">
        <v>571417</v>
      </c>
      <c r="D22" s="89">
        <v>249028</v>
      </c>
      <c r="E22" s="89">
        <v>235521</v>
      </c>
      <c r="F22" s="89" t="s">
        <v>451</v>
      </c>
      <c r="G22" s="89" t="s">
        <v>452</v>
      </c>
      <c r="H22" s="89" t="s">
        <v>393</v>
      </c>
      <c r="I22" s="214" t="s">
        <v>455</v>
      </c>
      <c r="J22" s="89">
        <f t="shared" si="0"/>
        <v>1055966</v>
      </c>
      <c r="K22" s="92"/>
    </row>
    <row r="23" spans="1:11" x14ac:dyDescent="0.2">
      <c r="A23" s="116">
        <v>2300</v>
      </c>
      <c r="B23" s="95" t="s">
        <v>153</v>
      </c>
      <c r="C23" s="89">
        <v>742209</v>
      </c>
      <c r="D23" s="89">
        <v>286992</v>
      </c>
      <c r="E23" s="89">
        <v>341100</v>
      </c>
      <c r="F23" s="89" t="s">
        <v>451</v>
      </c>
      <c r="G23" s="89" t="s">
        <v>452</v>
      </c>
      <c r="H23" s="89" t="s">
        <v>393</v>
      </c>
      <c r="I23" s="214" t="s">
        <v>455</v>
      </c>
      <c r="J23" s="89">
        <f t="shared" si="0"/>
        <v>1370301</v>
      </c>
      <c r="K23" s="92"/>
    </row>
    <row r="24" spans="1:11" x14ac:dyDescent="0.2">
      <c r="A24" s="116">
        <v>2400</v>
      </c>
      <c r="B24" s="95" t="s">
        <v>154</v>
      </c>
      <c r="C24" s="89">
        <v>2069811</v>
      </c>
      <c r="D24" s="89">
        <v>880590</v>
      </c>
      <c r="E24" s="89">
        <v>222108</v>
      </c>
      <c r="F24" s="89" t="s">
        <v>451</v>
      </c>
      <c r="G24" s="89" t="s">
        <v>452</v>
      </c>
      <c r="H24" s="89" t="s">
        <v>393</v>
      </c>
      <c r="I24" s="214" t="s">
        <v>455</v>
      </c>
      <c r="J24" s="89">
        <f t="shared" si="0"/>
        <v>3172509</v>
      </c>
      <c r="K24" s="92"/>
    </row>
    <row r="25" spans="1:11" x14ac:dyDescent="0.2">
      <c r="A25" s="116">
        <v>2500</v>
      </c>
      <c r="B25" s="95" t="s">
        <v>155</v>
      </c>
      <c r="C25" s="89">
        <v>403543</v>
      </c>
      <c r="D25" s="89">
        <v>203078</v>
      </c>
      <c r="E25" s="89">
        <v>108798</v>
      </c>
      <c r="F25" s="89" t="s">
        <v>451</v>
      </c>
      <c r="G25" s="89" t="s">
        <v>452</v>
      </c>
      <c r="H25" s="89" t="s">
        <v>393</v>
      </c>
      <c r="I25" s="214" t="s">
        <v>455</v>
      </c>
      <c r="J25" s="89">
        <f t="shared" si="0"/>
        <v>715419</v>
      </c>
      <c r="K25" s="92"/>
    </row>
    <row r="26" spans="1:11" x14ac:dyDescent="0.2">
      <c r="A26" s="116">
        <v>2600</v>
      </c>
      <c r="B26" s="95" t="s">
        <v>156</v>
      </c>
      <c r="C26" s="89">
        <v>1814183</v>
      </c>
      <c r="D26" s="89">
        <v>826542</v>
      </c>
      <c r="E26" s="89">
        <v>1906476</v>
      </c>
      <c r="F26" s="89" t="s">
        <v>451</v>
      </c>
      <c r="G26" s="89" t="s">
        <v>452</v>
      </c>
      <c r="H26" s="89" t="s">
        <v>393</v>
      </c>
      <c r="I26" s="214" t="s">
        <v>455</v>
      </c>
      <c r="J26" s="89">
        <f t="shared" si="0"/>
        <v>4547201</v>
      </c>
      <c r="K26" s="92"/>
    </row>
    <row r="27" spans="1:11" x14ac:dyDescent="0.2">
      <c r="A27" s="217">
        <v>2700</v>
      </c>
      <c r="B27" s="211" t="s">
        <v>157</v>
      </c>
      <c r="C27" s="89">
        <v>689760</v>
      </c>
      <c r="D27" s="89">
        <v>274545</v>
      </c>
      <c r="E27" s="89">
        <v>817781</v>
      </c>
      <c r="F27" s="89" t="s">
        <v>451</v>
      </c>
      <c r="G27" s="89" t="s">
        <v>452</v>
      </c>
      <c r="H27" s="89" t="s">
        <v>393</v>
      </c>
      <c r="I27" s="214" t="s">
        <v>455</v>
      </c>
      <c r="J27" s="89">
        <f t="shared" si="0"/>
        <v>1782086</v>
      </c>
      <c r="K27" s="212"/>
    </row>
    <row r="28" spans="1:11" x14ac:dyDescent="0.2">
      <c r="A28" s="116">
        <v>2900</v>
      </c>
      <c r="B28" s="95" t="s">
        <v>158</v>
      </c>
      <c r="C28" s="89" t="s">
        <v>393</v>
      </c>
      <c r="D28" s="89" t="s">
        <v>498</v>
      </c>
      <c r="E28" s="89" t="s">
        <v>450</v>
      </c>
      <c r="F28" s="89" t="s">
        <v>451</v>
      </c>
      <c r="G28" s="89" t="s">
        <v>452</v>
      </c>
      <c r="H28" s="89" t="s">
        <v>393</v>
      </c>
      <c r="I28" s="214" t="s">
        <v>455</v>
      </c>
      <c r="J28" s="89">
        <f t="shared" si="0"/>
        <v>0</v>
      </c>
      <c r="K28" s="92"/>
    </row>
    <row r="29" spans="1:11" s="204" customFormat="1" ht="15" x14ac:dyDescent="0.25">
      <c r="A29" s="218">
        <v>3000</v>
      </c>
      <c r="B29" s="216" t="s">
        <v>159</v>
      </c>
      <c r="C29" s="89" t="s">
        <v>393</v>
      </c>
      <c r="D29" s="89" t="s">
        <v>498</v>
      </c>
      <c r="E29" s="89" t="s">
        <v>450</v>
      </c>
      <c r="F29" s="89" t="s">
        <v>451</v>
      </c>
      <c r="G29" s="89" t="s">
        <v>452</v>
      </c>
      <c r="H29" s="89" t="s">
        <v>393</v>
      </c>
      <c r="I29" s="214" t="s">
        <v>455</v>
      </c>
      <c r="J29" s="89">
        <f t="shared" si="0"/>
        <v>0</v>
      </c>
      <c r="K29" s="219"/>
    </row>
    <row r="30" spans="1:11" x14ac:dyDescent="0.2">
      <c r="A30" s="217">
        <v>3100</v>
      </c>
      <c r="B30" s="211" t="s">
        <v>160</v>
      </c>
      <c r="C30" s="89" t="s">
        <v>393</v>
      </c>
      <c r="D30" s="89" t="s">
        <v>498</v>
      </c>
      <c r="E30" s="89" t="s">
        <v>450</v>
      </c>
      <c r="F30" s="89" t="s">
        <v>451</v>
      </c>
      <c r="G30" s="89" t="s">
        <v>452</v>
      </c>
      <c r="H30" s="89" t="s">
        <v>393</v>
      </c>
      <c r="I30" s="214" t="s">
        <v>455</v>
      </c>
      <c r="J30" s="89">
        <f t="shared" si="0"/>
        <v>0</v>
      </c>
      <c r="K30" s="212"/>
    </row>
    <row r="31" spans="1:11" x14ac:dyDescent="0.2">
      <c r="A31" s="116">
        <v>3200</v>
      </c>
      <c r="B31" s="95" t="s">
        <v>161</v>
      </c>
      <c r="C31" s="89" t="s">
        <v>393</v>
      </c>
      <c r="D31" s="89" t="s">
        <v>498</v>
      </c>
      <c r="E31" s="89" t="s">
        <v>450</v>
      </c>
      <c r="F31" s="89" t="s">
        <v>451</v>
      </c>
      <c r="G31" s="89" t="s">
        <v>452</v>
      </c>
      <c r="H31" s="89" t="s">
        <v>393</v>
      </c>
      <c r="I31" s="214" t="s">
        <v>455</v>
      </c>
      <c r="J31" s="89">
        <f t="shared" si="0"/>
        <v>0</v>
      </c>
      <c r="K31" s="92"/>
    </row>
    <row r="32" spans="1:11" x14ac:dyDescent="0.2">
      <c r="A32" s="116">
        <v>3300</v>
      </c>
      <c r="B32" s="95" t="s">
        <v>162</v>
      </c>
      <c r="C32" s="89" t="s">
        <v>393</v>
      </c>
      <c r="D32" s="89" t="s">
        <v>498</v>
      </c>
      <c r="E32" s="89" t="s">
        <v>450</v>
      </c>
      <c r="F32" s="89" t="s">
        <v>451</v>
      </c>
      <c r="G32" s="89" t="s">
        <v>452</v>
      </c>
      <c r="H32" s="89" t="s">
        <v>393</v>
      </c>
      <c r="I32" s="214" t="s">
        <v>455</v>
      </c>
      <c r="J32" s="89">
        <f t="shared" si="0"/>
        <v>0</v>
      </c>
      <c r="K32" s="92"/>
    </row>
    <row r="33" spans="1:11" s="223" customFormat="1" x14ac:dyDescent="0.2">
      <c r="A33" s="220">
        <v>4100</v>
      </c>
      <c r="B33" s="221" t="s">
        <v>163</v>
      </c>
      <c r="C33" s="89" t="s">
        <v>393</v>
      </c>
      <c r="D33" s="89" t="s">
        <v>498</v>
      </c>
      <c r="E33" s="89" t="s">
        <v>450</v>
      </c>
      <c r="F33" s="89" t="s">
        <v>451</v>
      </c>
      <c r="G33" s="89" t="s">
        <v>452</v>
      </c>
      <c r="H33" s="89" t="s">
        <v>393</v>
      </c>
      <c r="I33" s="214" t="s">
        <v>455</v>
      </c>
      <c r="J33" s="89">
        <f t="shared" si="0"/>
        <v>0</v>
      </c>
      <c r="K33" s="222"/>
    </row>
    <row r="34" spans="1:11" s="225" customFormat="1" ht="15" x14ac:dyDescent="0.25">
      <c r="A34" s="220">
        <v>4000</v>
      </c>
      <c r="B34" s="221" t="s">
        <v>164</v>
      </c>
      <c r="C34" s="89" t="s">
        <v>393</v>
      </c>
      <c r="D34" s="89" t="s">
        <v>498</v>
      </c>
      <c r="E34" s="89" t="s">
        <v>450</v>
      </c>
      <c r="F34" s="89" t="s">
        <v>451</v>
      </c>
      <c r="G34" s="89" t="s">
        <v>452</v>
      </c>
      <c r="H34" s="89" t="s">
        <v>393</v>
      </c>
      <c r="I34" s="214" t="s">
        <v>455</v>
      </c>
      <c r="J34" s="89">
        <f t="shared" si="0"/>
        <v>0</v>
      </c>
      <c r="K34" s="224"/>
    </row>
    <row r="35" spans="1:11" s="223" customFormat="1" x14ac:dyDescent="0.2">
      <c r="A35" s="220">
        <v>4200</v>
      </c>
      <c r="B35" s="221" t="s">
        <v>165</v>
      </c>
      <c r="C35" s="89" t="s">
        <v>393</v>
      </c>
      <c r="D35" s="89" t="s">
        <v>498</v>
      </c>
      <c r="E35" s="89" t="s">
        <v>450</v>
      </c>
      <c r="F35" s="89" t="s">
        <v>451</v>
      </c>
      <c r="G35" s="89" t="s">
        <v>452</v>
      </c>
      <c r="H35" s="89" t="s">
        <v>393</v>
      </c>
      <c r="I35" s="214" t="s">
        <v>455</v>
      </c>
      <c r="J35" s="89">
        <f t="shared" si="0"/>
        <v>0</v>
      </c>
      <c r="K35" s="222"/>
    </row>
    <row r="36" spans="1:11" s="223" customFormat="1" x14ac:dyDescent="0.2">
      <c r="A36" s="220">
        <v>4300</v>
      </c>
      <c r="B36" s="221" t="s">
        <v>166</v>
      </c>
      <c r="C36" s="89" t="s">
        <v>393</v>
      </c>
      <c r="D36" s="89" t="s">
        <v>498</v>
      </c>
      <c r="E36" s="89" t="s">
        <v>450</v>
      </c>
      <c r="F36" s="89" t="s">
        <v>451</v>
      </c>
      <c r="G36" s="89" t="s">
        <v>452</v>
      </c>
      <c r="H36" s="89" t="s">
        <v>393</v>
      </c>
      <c r="I36" s="214" t="s">
        <v>455</v>
      </c>
      <c r="J36" s="89">
        <f t="shared" si="0"/>
        <v>0</v>
      </c>
      <c r="K36" s="222"/>
    </row>
    <row r="37" spans="1:11" s="223" customFormat="1" x14ac:dyDescent="0.2">
      <c r="A37" s="220">
        <v>4400</v>
      </c>
      <c r="B37" s="221" t="s">
        <v>167</v>
      </c>
      <c r="C37" s="89" t="s">
        <v>393</v>
      </c>
      <c r="D37" s="89" t="s">
        <v>498</v>
      </c>
      <c r="E37" s="89" t="s">
        <v>450</v>
      </c>
      <c r="F37" s="89" t="s">
        <v>451</v>
      </c>
      <c r="G37" s="89" t="s">
        <v>452</v>
      </c>
      <c r="H37" s="89" t="s">
        <v>393</v>
      </c>
      <c r="I37" s="214" t="s">
        <v>455</v>
      </c>
      <c r="J37" s="89">
        <f t="shared" si="0"/>
        <v>0</v>
      </c>
      <c r="K37" s="222"/>
    </row>
    <row r="38" spans="1:11" s="223" customFormat="1" x14ac:dyDescent="0.2">
      <c r="A38" s="220">
        <v>4500</v>
      </c>
      <c r="B38" s="221" t="s">
        <v>168</v>
      </c>
      <c r="C38" s="89" t="s">
        <v>393</v>
      </c>
      <c r="D38" s="89" t="s">
        <v>498</v>
      </c>
      <c r="E38" s="89" t="s">
        <v>450</v>
      </c>
      <c r="F38" s="89" t="s">
        <v>451</v>
      </c>
      <c r="G38" s="89" t="s">
        <v>452</v>
      </c>
      <c r="H38" s="89" t="s">
        <v>393</v>
      </c>
      <c r="I38" s="214" t="s">
        <v>455</v>
      </c>
      <c r="J38" s="89">
        <f t="shared" si="0"/>
        <v>0</v>
      </c>
      <c r="K38" s="222"/>
    </row>
    <row r="39" spans="1:11" s="223" customFormat="1" x14ac:dyDescent="0.2">
      <c r="A39" s="220">
        <v>4600</v>
      </c>
      <c r="B39" s="221" t="s">
        <v>169</v>
      </c>
      <c r="C39" s="89" t="s">
        <v>393</v>
      </c>
      <c r="D39" s="89" t="s">
        <v>498</v>
      </c>
      <c r="E39" s="89" t="s">
        <v>450</v>
      </c>
      <c r="F39" s="89" t="s">
        <v>451</v>
      </c>
      <c r="G39" s="89" t="s">
        <v>452</v>
      </c>
      <c r="H39" s="89" t="s">
        <v>393</v>
      </c>
      <c r="I39" s="214" t="s">
        <v>455</v>
      </c>
      <c r="J39" s="89">
        <f t="shared" si="0"/>
        <v>0</v>
      </c>
      <c r="K39" s="222"/>
    </row>
    <row r="40" spans="1:11" s="223" customFormat="1" x14ac:dyDescent="0.2">
      <c r="A40" s="220">
        <v>4700</v>
      </c>
      <c r="B40" s="221" t="s">
        <v>170</v>
      </c>
      <c r="C40" s="89" t="s">
        <v>393</v>
      </c>
      <c r="D40" s="89" t="s">
        <v>498</v>
      </c>
      <c r="E40" s="89" t="s">
        <v>450</v>
      </c>
      <c r="F40" s="89" t="s">
        <v>451</v>
      </c>
      <c r="G40" s="89" t="s">
        <v>452</v>
      </c>
      <c r="H40" s="89" t="s">
        <v>393</v>
      </c>
      <c r="I40" s="214" t="s">
        <v>455</v>
      </c>
      <c r="J40" s="89">
        <f t="shared" si="0"/>
        <v>0</v>
      </c>
      <c r="K40" s="222"/>
    </row>
    <row r="41" spans="1:11" s="223" customFormat="1" x14ac:dyDescent="0.2">
      <c r="A41" s="220">
        <v>4900</v>
      </c>
      <c r="B41" s="221" t="s">
        <v>171</v>
      </c>
      <c r="C41" s="89" t="s">
        <v>393</v>
      </c>
      <c r="D41" s="89" t="s">
        <v>498</v>
      </c>
      <c r="E41" s="89" t="s">
        <v>450</v>
      </c>
      <c r="F41" s="89" t="s">
        <v>451</v>
      </c>
      <c r="G41" s="89" t="s">
        <v>452</v>
      </c>
      <c r="H41" s="89" t="s">
        <v>393</v>
      </c>
      <c r="I41" s="214" t="s">
        <v>455</v>
      </c>
      <c r="J41" s="89">
        <f t="shared" si="0"/>
        <v>0</v>
      </c>
      <c r="K41" s="222"/>
    </row>
    <row r="42" spans="1:11" x14ac:dyDescent="0.2">
      <c r="A42" s="220">
        <v>5000</v>
      </c>
      <c r="B42" s="226" t="s">
        <v>172</v>
      </c>
      <c r="C42" s="89" t="s">
        <v>393</v>
      </c>
      <c r="D42" s="89" t="s">
        <v>498</v>
      </c>
      <c r="E42" s="89" t="s">
        <v>450</v>
      </c>
      <c r="F42" s="89" t="s">
        <v>451</v>
      </c>
      <c r="G42" s="89" t="s">
        <v>452</v>
      </c>
      <c r="H42" s="89" t="s">
        <v>393</v>
      </c>
      <c r="I42" s="214" t="s">
        <v>455</v>
      </c>
      <c r="J42" s="89">
        <f t="shared" si="0"/>
        <v>0</v>
      </c>
      <c r="K42" s="92"/>
    </row>
    <row r="43" spans="1:11" x14ac:dyDescent="0.2">
      <c r="A43" s="220">
        <v>5000</v>
      </c>
      <c r="B43" s="226" t="s">
        <v>173</v>
      </c>
      <c r="C43" s="89" t="s">
        <v>393</v>
      </c>
      <c r="D43" s="89" t="s">
        <v>498</v>
      </c>
      <c r="E43" s="89">
        <v>77341</v>
      </c>
      <c r="F43" s="89" t="s">
        <v>451</v>
      </c>
      <c r="G43" s="89" t="s">
        <v>452</v>
      </c>
      <c r="H43" s="89" t="s">
        <v>393</v>
      </c>
      <c r="I43" s="214" t="s">
        <v>455</v>
      </c>
      <c r="J43" s="89">
        <f t="shared" si="0"/>
        <v>77341</v>
      </c>
      <c r="K43" s="92"/>
    </row>
    <row r="44" spans="1:11" x14ac:dyDescent="0.2">
      <c r="A44" s="220">
        <v>6100</v>
      </c>
      <c r="B44" s="226" t="s">
        <v>174</v>
      </c>
      <c r="C44" s="89" t="s">
        <v>393</v>
      </c>
      <c r="D44" s="89" t="s">
        <v>498</v>
      </c>
      <c r="E44" s="89" t="s">
        <v>450</v>
      </c>
      <c r="F44" s="89" t="s">
        <v>451</v>
      </c>
      <c r="G44" s="89" t="s">
        <v>452</v>
      </c>
      <c r="H44" s="89" t="s">
        <v>393</v>
      </c>
      <c r="I44" s="214" t="s">
        <v>455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89" t="s">
        <v>393</v>
      </c>
      <c r="D45" s="89" t="s">
        <v>498</v>
      </c>
      <c r="E45" s="89" t="s">
        <v>450</v>
      </c>
      <c r="F45" s="89">
        <v>2545002</v>
      </c>
      <c r="G45" s="89" t="s">
        <v>452</v>
      </c>
      <c r="H45" s="89" t="s">
        <v>393</v>
      </c>
      <c r="I45" s="214" t="s">
        <v>455</v>
      </c>
      <c r="J45" s="89">
        <f t="shared" si="0"/>
        <v>2545002</v>
      </c>
      <c r="K45" s="92"/>
    </row>
    <row r="46" spans="1:11" x14ac:dyDescent="0.2">
      <c r="A46" s="116">
        <v>6300</v>
      </c>
      <c r="B46" s="95" t="s">
        <v>176</v>
      </c>
      <c r="C46" s="89" t="s">
        <v>393</v>
      </c>
      <c r="D46" s="89" t="s">
        <v>498</v>
      </c>
      <c r="E46" s="89" t="s">
        <v>450</v>
      </c>
      <c r="F46" s="89" t="s">
        <v>451</v>
      </c>
      <c r="G46" s="89" t="s">
        <v>452</v>
      </c>
      <c r="H46" s="89" t="s">
        <v>393</v>
      </c>
      <c r="I46" s="214" t="s">
        <v>455</v>
      </c>
      <c r="J46" s="89">
        <f t="shared" si="0"/>
        <v>0</v>
      </c>
      <c r="K46" s="92"/>
    </row>
    <row r="47" spans="1:11" x14ac:dyDescent="0.2">
      <c r="A47" s="116">
        <v>8000</v>
      </c>
      <c r="B47" s="227" t="s">
        <v>177</v>
      </c>
      <c r="C47" s="89" t="s">
        <v>393</v>
      </c>
      <c r="D47" s="89" t="s">
        <v>498</v>
      </c>
      <c r="E47" s="89" t="s">
        <v>450</v>
      </c>
      <c r="F47" s="89" t="s">
        <v>451</v>
      </c>
      <c r="G47" s="89" t="s">
        <v>452</v>
      </c>
      <c r="H47" s="89" t="s">
        <v>393</v>
      </c>
      <c r="I47" s="214" t="s">
        <v>455</v>
      </c>
      <c r="J47" s="89">
        <f t="shared" si="0"/>
        <v>0</v>
      </c>
      <c r="K47" s="92"/>
    </row>
    <row r="48" spans="1:11" x14ac:dyDescent="0.2">
      <c r="A48" s="116"/>
      <c r="B48" s="227" t="s">
        <v>445</v>
      </c>
      <c r="C48" s="89" t="s">
        <v>393</v>
      </c>
      <c r="D48" s="89" t="s">
        <v>498</v>
      </c>
      <c r="E48" s="89" t="s">
        <v>450</v>
      </c>
      <c r="F48" s="89" t="s">
        <v>451</v>
      </c>
      <c r="G48" s="89" t="s">
        <v>452</v>
      </c>
      <c r="H48" s="89" t="s">
        <v>393</v>
      </c>
      <c r="I48" s="214" t="s">
        <v>455</v>
      </c>
      <c r="J48" s="89">
        <f t="shared" si="0"/>
        <v>0</v>
      </c>
      <c r="K48" s="92"/>
    </row>
    <row r="49" spans="1:11" x14ac:dyDescent="0.2">
      <c r="A49" s="229"/>
      <c r="B49" s="100" t="s">
        <v>446</v>
      </c>
      <c r="C49" s="89" t="s">
        <v>393</v>
      </c>
      <c r="D49" s="89" t="s">
        <v>498</v>
      </c>
      <c r="E49" s="89" t="s">
        <v>450</v>
      </c>
      <c r="F49" s="89" t="s">
        <v>451</v>
      </c>
      <c r="G49" s="89" t="s">
        <v>452</v>
      </c>
      <c r="H49" s="89">
        <v>2394657</v>
      </c>
      <c r="I49" s="214" t="s">
        <v>455</v>
      </c>
      <c r="J49" s="89">
        <f t="shared" si="0"/>
        <v>2394657</v>
      </c>
      <c r="K49" s="92"/>
    </row>
    <row r="50" spans="1:11" ht="15" thickBot="1" x14ac:dyDescent="0.25">
      <c r="A50" s="230"/>
      <c r="B50" s="231" t="s">
        <v>255</v>
      </c>
      <c r="C50" s="232" t="s">
        <v>393</v>
      </c>
      <c r="D50" s="232" t="s">
        <v>498</v>
      </c>
      <c r="E50" s="232" t="s">
        <v>450</v>
      </c>
      <c r="F50" s="232" t="s">
        <v>451</v>
      </c>
      <c r="G50" s="232" t="s">
        <v>452</v>
      </c>
      <c r="H50" s="232">
        <v>56980</v>
      </c>
      <c r="I50" s="316" t="s">
        <v>455</v>
      </c>
      <c r="J50" s="232">
        <f t="shared" si="0"/>
        <v>56980</v>
      </c>
      <c r="K50" s="233"/>
    </row>
    <row r="51" spans="1:11" ht="15.75" thickBot="1" x14ac:dyDescent="0.3">
      <c r="A51" s="234"/>
      <c r="B51" s="235" t="s">
        <v>447</v>
      </c>
      <c r="C51" s="236">
        <f>SUM(C2:C50)</f>
        <v>19126569</v>
      </c>
      <c r="D51" s="236">
        <f>SUM(D2:D50)</f>
        <v>9067507</v>
      </c>
      <c r="E51" s="236">
        <f>SUM(E2:E50)</f>
        <v>5848126</v>
      </c>
      <c r="F51" s="236">
        <f t="shared" ref="F51:I51" si="1">SUM(F2:F50)</f>
        <v>2545002</v>
      </c>
      <c r="G51" s="236">
        <f t="shared" si="1"/>
        <v>0</v>
      </c>
      <c r="H51" s="236">
        <f t="shared" si="1"/>
        <v>2451637</v>
      </c>
      <c r="I51" s="237">
        <f t="shared" si="1"/>
        <v>0</v>
      </c>
      <c r="J51" s="236">
        <f t="shared" si="0"/>
        <v>39038841</v>
      </c>
      <c r="K51" s="239"/>
    </row>
    <row r="52" spans="1:11" ht="15" x14ac:dyDescent="0.25">
      <c r="A52" s="218" t="s">
        <v>448</v>
      </c>
      <c r="B52" s="95"/>
      <c r="C52" s="240" t="s">
        <v>393</v>
      </c>
      <c r="D52" s="240" t="s">
        <v>498</v>
      </c>
      <c r="E52" s="240">
        <v>225660</v>
      </c>
      <c r="F52" s="240">
        <v>1874441</v>
      </c>
      <c r="G52" s="240" t="s">
        <v>452</v>
      </c>
      <c r="H52" s="240">
        <v>482624</v>
      </c>
      <c r="I52" s="241" t="s">
        <v>455</v>
      </c>
      <c r="J52" s="144">
        <f t="shared" si="0"/>
        <v>2582725</v>
      </c>
      <c r="K52" s="112"/>
    </row>
    <row r="53" spans="1:11" ht="15.75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233"/>
    </row>
    <row r="54" spans="1:11" ht="20.25" customHeight="1" thickBot="1" x14ac:dyDescent="0.3">
      <c r="A54" s="245" t="s">
        <v>454</v>
      </c>
      <c r="B54" s="246"/>
      <c r="C54" s="247">
        <f>SUM(C51:C53)</f>
        <v>19126569</v>
      </c>
      <c r="D54" s="247">
        <f t="shared" ref="D54:H54" si="2">SUM(D51:D53)</f>
        <v>9067507</v>
      </c>
      <c r="E54" s="247">
        <f t="shared" si="2"/>
        <v>6073786</v>
      </c>
      <c r="F54" s="247">
        <f t="shared" si="2"/>
        <v>4419443</v>
      </c>
      <c r="G54" s="247">
        <f t="shared" si="2"/>
        <v>0</v>
      </c>
      <c r="H54" s="247">
        <f t="shared" si="2"/>
        <v>2934261</v>
      </c>
      <c r="I54" s="248">
        <f>SUM(I51:I53)</f>
        <v>0</v>
      </c>
      <c r="J54" s="236">
        <f>SUM(C54:I54)</f>
        <v>41621566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hidden="1" x14ac:dyDescent="0.25">
      <c r="A56" s="116"/>
      <c r="B56" s="95" t="s">
        <v>179</v>
      </c>
      <c r="C56" s="89" t="s">
        <v>393</v>
      </c>
      <c r="D56" s="89" t="s">
        <v>498</v>
      </c>
      <c r="E56" s="89" t="s">
        <v>450</v>
      </c>
      <c r="F56" s="89" t="s">
        <v>451</v>
      </c>
      <c r="G56" s="89" t="s">
        <v>452</v>
      </c>
      <c r="H56" s="89" t="s">
        <v>393</v>
      </c>
      <c r="I56" s="214" t="s">
        <v>455</v>
      </c>
      <c r="J56" s="89">
        <f t="shared" si="0"/>
        <v>0</v>
      </c>
      <c r="K56" s="249"/>
    </row>
    <row r="57" spans="1:11" ht="15" x14ac:dyDescent="0.25">
      <c r="A57" s="116"/>
      <c r="B57" s="95" t="s">
        <v>145</v>
      </c>
      <c r="C57" s="89">
        <v>53317</v>
      </c>
      <c r="D57" s="89">
        <v>29638</v>
      </c>
      <c r="E57" s="89">
        <v>22979</v>
      </c>
      <c r="F57" s="89" t="s">
        <v>451</v>
      </c>
      <c r="G57" s="89" t="s">
        <v>452</v>
      </c>
      <c r="H57" s="89" t="s">
        <v>393</v>
      </c>
      <c r="I57" s="214" t="s">
        <v>455</v>
      </c>
      <c r="J57" s="89">
        <f t="shared" si="0"/>
        <v>105934</v>
      </c>
      <c r="K57" s="249"/>
    </row>
    <row r="58" spans="1:11" ht="15" x14ac:dyDescent="0.25">
      <c r="A58" s="116"/>
      <c r="B58" s="95" t="s">
        <v>180</v>
      </c>
      <c r="C58" s="89">
        <v>20000</v>
      </c>
      <c r="D58" s="89">
        <v>590</v>
      </c>
      <c r="E58" s="89">
        <v>7145</v>
      </c>
      <c r="F58" s="89" t="s">
        <v>451</v>
      </c>
      <c r="G58" s="89" t="s">
        <v>452</v>
      </c>
      <c r="H58" s="89" t="s">
        <v>393</v>
      </c>
      <c r="I58" s="214" t="s">
        <v>455</v>
      </c>
      <c r="J58" s="89">
        <f t="shared" si="0"/>
        <v>27735</v>
      </c>
      <c r="K58" s="249"/>
    </row>
    <row r="59" spans="1:11" ht="15" hidden="1" x14ac:dyDescent="0.25">
      <c r="A59" s="116"/>
      <c r="B59" s="95" t="s">
        <v>181</v>
      </c>
      <c r="C59" s="89" t="s">
        <v>393</v>
      </c>
      <c r="D59" s="89" t="s">
        <v>498</v>
      </c>
      <c r="E59" s="89" t="s">
        <v>450</v>
      </c>
      <c r="F59" s="89" t="s">
        <v>451</v>
      </c>
      <c r="G59" s="89" t="s">
        <v>452</v>
      </c>
      <c r="H59" s="89" t="s">
        <v>393</v>
      </c>
      <c r="I59" s="214" t="s">
        <v>455</v>
      </c>
      <c r="J59" s="89">
        <f t="shared" si="0"/>
        <v>0</v>
      </c>
      <c r="K59" s="249"/>
    </row>
    <row r="60" spans="1:11" ht="15" hidden="1" x14ac:dyDescent="0.25">
      <c r="A60" s="116"/>
      <c r="B60" s="95" t="s">
        <v>182</v>
      </c>
      <c r="C60" s="89" t="s">
        <v>393</v>
      </c>
      <c r="D60" s="89" t="s">
        <v>498</v>
      </c>
      <c r="E60" s="89" t="s">
        <v>450</v>
      </c>
      <c r="F60" s="89" t="s">
        <v>451</v>
      </c>
      <c r="G60" s="89" t="s">
        <v>452</v>
      </c>
      <c r="H60" s="89" t="s">
        <v>393</v>
      </c>
      <c r="I60" s="214" t="s">
        <v>455</v>
      </c>
      <c r="J60" s="89">
        <f t="shared" si="0"/>
        <v>0</v>
      </c>
      <c r="K60" s="249"/>
    </row>
    <row r="61" spans="1:11" ht="15" hidden="1" x14ac:dyDescent="0.25">
      <c r="A61" s="251"/>
      <c r="B61" s="100" t="s">
        <v>183</v>
      </c>
      <c r="C61" s="89" t="s">
        <v>393</v>
      </c>
      <c r="D61" s="89" t="s">
        <v>498</v>
      </c>
      <c r="E61" s="89" t="s">
        <v>450</v>
      </c>
      <c r="F61" s="89" t="s">
        <v>451</v>
      </c>
      <c r="G61" s="89" t="s">
        <v>452</v>
      </c>
      <c r="H61" s="89" t="s">
        <v>393</v>
      </c>
      <c r="I61" s="214" t="s">
        <v>455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184</v>
      </c>
      <c r="C62" s="89" t="s">
        <v>393</v>
      </c>
      <c r="D62" s="89" t="s">
        <v>498</v>
      </c>
      <c r="E62" s="89" t="s">
        <v>450</v>
      </c>
      <c r="F62" s="89" t="s">
        <v>451</v>
      </c>
      <c r="G62" s="89" t="s">
        <v>452</v>
      </c>
      <c r="H62" s="89" t="s">
        <v>393</v>
      </c>
      <c r="I62" s="214" t="s">
        <v>455</v>
      </c>
      <c r="J62" s="89">
        <f t="shared" si="0"/>
        <v>0</v>
      </c>
      <c r="K62" s="249"/>
    </row>
    <row r="63" spans="1:11" ht="15" x14ac:dyDescent="0.25">
      <c r="A63" s="251"/>
      <c r="B63" s="100" t="s">
        <v>185</v>
      </c>
      <c r="C63" s="89" t="s">
        <v>393</v>
      </c>
      <c r="D63" s="89" t="s">
        <v>498</v>
      </c>
      <c r="E63" s="89">
        <v>329549</v>
      </c>
      <c r="F63" s="89" t="s">
        <v>451</v>
      </c>
      <c r="G63" s="89" t="s">
        <v>452</v>
      </c>
      <c r="H63" s="89">
        <v>268267</v>
      </c>
      <c r="I63" s="214" t="s">
        <v>455</v>
      </c>
      <c r="J63" s="89">
        <f t="shared" si="0"/>
        <v>597816</v>
      </c>
      <c r="K63" s="249"/>
    </row>
    <row r="64" spans="1:11" ht="15" x14ac:dyDescent="0.25">
      <c r="A64" s="251"/>
      <c r="B64" s="100" t="s">
        <v>186</v>
      </c>
      <c r="C64" s="89" t="s">
        <v>393</v>
      </c>
      <c r="D64" s="89" t="s">
        <v>498</v>
      </c>
      <c r="E64" s="89">
        <v>372666</v>
      </c>
      <c r="F64" s="89" t="s">
        <v>451</v>
      </c>
      <c r="G64" s="89" t="s">
        <v>452</v>
      </c>
      <c r="H64" s="89">
        <v>75000</v>
      </c>
      <c r="I64" s="214" t="s">
        <v>455</v>
      </c>
      <c r="J64" s="89">
        <f t="shared" si="0"/>
        <v>447666</v>
      </c>
      <c r="K64" s="249"/>
    </row>
    <row r="65" spans="1:11" ht="15" hidden="1" x14ac:dyDescent="0.25">
      <c r="A65" s="251"/>
      <c r="B65" s="100" t="s">
        <v>187</v>
      </c>
      <c r="C65" s="89" t="s">
        <v>393</v>
      </c>
      <c r="D65" s="89" t="s">
        <v>498</v>
      </c>
      <c r="E65" s="89" t="s">
        <v>450</v>
      </c>
      <c r="F65" s="89" t="s">
        <v>451</v>
      </c>
      <c r="G65" s="89" t="s">
        <v>452</v>
      </c>
      <c r="H65" s="89" t="s">
        <v>393</v>
      </c>
      <c r="I65" s="214" t="s">
        <v>455</v>
      </c>
      <c r="J65" s="89">
        <f t="shared" si="0"/>
        <v>0</v>
      </c>
      <c r="K65" s="249"/>
    </row>
    <row r="66" spans="1:11" ht="15" hidden="1" x14ac:dyDescent="0.25">
      <c r="A66" s="251"/>
      <c r="B66" s="100" t="s">
        <v>188</v>
      </c>
      <c r="C66" s="89" t="s">
        <v>393</v>
      </c>
      <c r="D66" s="89" t="s">
        <v>498</v>
      </c>
      <c r="E66" s="89" t="s">
        <v>450</v>
      </c>
      <c r="F66" s="89" t="s">
        <v>451</v>
      </c>
      <c r="G66" s="89" t="s">
        <v>452</v>
      </c>
      <c r="H66" s="89" t="s">
        <v>393</v>
      </c>
      <c r="I66" s="214" t="s">
        <v>455</v>
      </c>
      <c r="J66" s="89">
        <f t="shared" si="0"/>
        <v>0</v>
      </c>
      <c r="K66" s="249"/>
    </row>
    <row r="67" spans="1:11" ht="15" hidden="1" x14ac:dyDescent="0.25">
      <c r="A67" s="251"/>
      <c r="B67" s="100" t="s">
        <v>189</v>
      </c>
      <c r="C67" s="89" t="s">
        <v>393</v>
      </c>
      <c r="D67" s="89" t="s">
        <v>498</v>
      </c>
      <c r="E67" s="89" t="s">
        <v>450</v>
      </c>
      <c r="F67" s="89" t="s">
        <v>451</v>
      </c>
      <c r="G67" s="89" t="s">
        <v>452</v>
      </c>
      <c r="H67" s="89" t="s">
        <v>393</v>
      </c>
      <c r="I67" s="214" t="s">
        <v>455</v>
      </c>
      <c r="J67" s="89">
        <f t="shared" si="0"/>
        <v>0</v>
      </c>
      <c r="K67" s="249"/>
    </row>
    <row r="68" spans="1:11" ht="15" hidden="1" x14ac:dyDescent="0.25">
      <c r="A68" s="116"/>
      <c r="B68" s="95" t="s">
        <v>190</v>
      </c>
      <c r="C68" s="89" t="s">
        <v>393</v>
      </c>
      <c r="D68" s="89" t="s">
        <v>498</v>
      </c>
      <c r="E68" s="89" t="s">
        <v>450</v>
      </c>
      <c r="F68" s="89" t="s">
        <v>451</v>
      </c>
      <c r="G68" s="89" t="s">
        <v>452</v>
      </c>
      <c r="H68" s="89" t="s">
        <v>393</v>
      </c>
      <c r="I68" s="214" t="s">
        <v>455</v>
      </c>
      <c r="J68" s="89">
        <f t="shared" ref="J68:J131" si="3">SUM(C68:I68)</f>
        <v>0</v>
      </c>
      <c r="K68" s="249"/>
    </row>
    <row r="69" spans="1:11" ht="15" x14ac:dyDescent="0.25">
      <c r="A69" s="116"/>
      <c r="B69" s="95" t="s">
        <v>191</v>
      </c>
      <c r="C69" s="89">
        <v>670731</v>
      </c>
      <c r="D69" s="89">
        <v>311569</v>
      </c>
      <c r="E69" s="89" t="s">
        <v>450</v>
      </c>
      <c r="F69" s="89" t="s">
        <v>451</v>
      </c>
      <c r="G69" s="89" t="s">
        <v>452</v>
      </c>
      <c r="H69" s="89" t="s">
        <v>393</v>
      </c>
      <c r="I69" s="214" t="s">
        <v>455</v>
      </c>
      <c r="J69" s="89">
        <f t="shared" si="3"/>
        <v>982300</v>
      </c>
      <c r="K69" s="249"/>
    </row>
    <row r="70" spans="1:11" ht="15" hidden="1" x14ac:dyDescent="0.25">
      <c r="A70" s="116"/>
      <c r="B70" s="95" t="s">
        <v>192</v>
      </c>
      <c r="C70" s="89" t="s">
        <v>393</v>
      </c>
      <c r="D70" s="89" t="s">
        <v>498</v>
      </c>
      <c r="E70" s="89" t="s">
        <v>450</v>
      </c>
      <c r="F70" s="89" t="s">
        <v>451</v>
      </c>
      <c r="G70" s="89" t="s">
        <v>452</v>
      </c>
      <c r="H70" s="89" t="s">
        <v>393</v>
      </c>
      <c r="I70" s="214" t="s">
        <v>455</v>
      </c>
      <c r="J70" s="89">
        <f t="shared" si="3"/>
        <v>0</v>
      </c>
      <c r="K70" s="249"/>
    </row>
    <row r="71" spans="1:11" ht="15" hidden="1" x14ac:dyDescent="0.25">
      <c r="A71" s="116"/>
      <c r="B71" s="95" t="s">
        <v>193</v>
      </c>
      <c r="C71" s="89" t="s">
        <v>393</v>
      </c>
      <c r="D71" s="89" t="s">
        <v>498</v>
      </c>
      <c r="E71" s="89" t="s">
        <v>450</v>
      </c>
      <c r="F71" s="89" t="s">
        <v>451</v>
      </c>
      <c r="G71" s="89" t="s">
        <v>452</v>
      </c>
      <c r="H71" s="89" t="s">
        <v>393</v>
      </c>
      <c r="I71" s="214" t="s">
        <v>455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89" t="s">
        <v>393</v>
      </c>
      <c r="D72" s="89" t="s">
        <v>498</v>
      </c>
      <c r="E72" s="89" t="s">
        <v>450</v>
      </c>
      <c r="F72" s="89" t="s">
        <v>451</v>
      </c>
      <c r="G72" s="89" t="s">
        <v>452</v>
      </c>
      <c r="H72" s="89" t="s">
        <v>393</v>
      </c>
      <c r="I72" s="214" t="s">
        <v>455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89" t="s">
        <v>393</v>
      </c>
      <c r="D73" s="89" t="s">
        <v>498</v>
      </c>
      <c r="E73" s="89" t="s">
        <v>450</v>
      </c>
      <c r="F73" s="89" t="s">
        <v>451</v>
      </c>
      <c r="G73" s="89" t="s">
        <v>452</v>
      </c>
      <c r="H73" s="89" t="s">
        <v>393</v>
      </c>
      <c r="I73" s="214" t="s">
        <v>455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89" t="s">
        <v>393</v>
      </c>
      <c r="D74" s="89" t="s">
        <v>498</v>
      </c>
      <c r="E74" s="89" t="s">
        <v>450</v>
      </c>
      <c r="F74" s="89" t="s">
        <v>451</v>
      </c>
      <c r="G74" s="89" t="s">
        <v>452</v>
      </c>
      <c r="H74" s="89" t="s">
        <v>393</v>
      </c>
      <c r="I74" s="214" t="s">
        <v>455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89" t="s">
        <v>393</v>
      </c>
      <c r="D75" s="89" t="s">
        <v>498</v>
      </c>
      <c r="E75" s="89" t="s">
        <v>450</v>
      </c>
      <c r="F75" s="89" t="s">
        <v>451</v>
      </c>
      <c r="G75" s="89" t="s">
        <v>452</v>
      </c>
      <c r="H75" s="89" t="s">
        <v>393</v>
      </c>
      <c r="I75" s="214" t="s">
        <v>455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198</v>
      </c>
      <c r="C76" s="89" t="s">
        <v>393</v>
      </c>
      <c r="D76" s="89" t="s">
        <v>498</v>
      </c>
      <c r="E76" s="89" t="s">
        <v>450</v>
      </c>
      <c r="F76" s="89" t="s">
        <v>451</v>
      </c>
      <c r="G76" s="89" t="s">
        <v>452</v>
      </c>
      <c r="H76" s="89" t="s">
        <v>393</v>
      </c>
      <c r="I76" s="214" t="s">
        <v>455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199</v>
      </c>
      <c r="C77" s="89" t="s">
        <v>393</v>
      </c>
      <c r="D77" s="89" t="s">
        <v>498</v>
      </c>
      <c r="E77" s="89" t="s">
        <v>450</v>
      </c>
      <c r="F77" s="89" t="s">
        <v>451</v>
      </c>
      <c r="G77" s="89" t="s">
        <v>452</v>
      </c>
      <c r="H77" s="89" t="s">
        <v>393</v>
      </c>
      <c r="I77" s="214" t="s">
        <v>455</v>
      </c>
      <c r="J77" s="89">
        <f t="shared" si="3"/>
        <v>0</v>
      </c>
      <c r="K77" s="249"/>
    </row>
    <row r="78" spans="1:11" ht="15" x14ac:dyDescent="0.25">
      <c r="A78" s="116"/>
      <c r="B78" s="95" t="s">
        <v>200</v>
      </c>
      <c r="C78" s="89" t="s">
        <v>393</v>
      </c>
      <c r="D78" s="89" t="s">
        <v>498</v>
      </c>
      <c r="E78" s="89">
        <v>1958538</v>
      </c>
      <c r="F78" s="89" t="s">
        <v>451</v>
      </c>
      <c r="G78" s="89" t="s">
        <v>452</v>
      </c>
      <c r="H78" s="89">
        <v>10000</v>
      </c>
      <c r="I78" s="214" t="s">
        <v>455</v>
      </c>
      <c r="J78" s="89">
        <f t="shared" si="3"/>
        <v>1968538</v>
      </c>
      <c r="K78" s="249"/>
    </row>
    <row r="79" spans="1:11" ht="15" hidden="1" x14ac:dyDescent="0.25">
      <c r="A79" s="116"/>
      <c r="B79" s="95" t="s">
        <v>201</v>
      </c>
      <c r="C79" s="89" t="s">
        <v>393</v>
      </c>
      <c r="D79" s="89" t="s">
        <v>498</v>
      </c>
      <c r="E79" s="89" t="s">
        <v>450</v>
      </c>
      <c r="F79" s="89" t="s">
        <v>451</v>
      </c>
      <c r="G79" s="89" t="s">
        <v>452</v>
      </c>
      <c r="H79" s="89" t="s">
        <v>393</v>
      </c>
      <c r="I79" s="214" t="s">
        <v>455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202</v>
      </c>
      <c r="C80" s="89" t="s">
        <v>393</v>
      </c>
      <c r="D80" s="89" t="s">
        <v>498</v>
      </c>
      <c r="E80" s="89" t="s">
        <v>450</v>
      </c>
      <c r="F80" s="89" t="s">
        <v>451</v>
      </c>
      <c r="G80" s="89" t="s">
        <v>452</v>
      </c>
      <c r="H80" s="89" t="s">
        <v>393</v>
      </c>
      <c r="I80" s="214" t="s">
        <v>455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203</v>
      </c>
      <c r="C81" s="89" t="s">
        <v>393</v>
      </c>
      <c r="D81" s="89" t="s">
        <v>498</v>
      </c>
      <c r="E81" s="89" t="s">
        <v>450</v>
      </c>
      <c r="F81" s="89" t="s">
        <v>451</v>
      </c>
      <c r="G81" s="89" t="s">
        <v>452</v>
      </c>
      <c r="H81" s="89" t="s">
        <v>393</v>
      </c>
      <c r="I81" s="214" t="s">
        <v>455</v>
      </c>
      <c r="J81" s="89">
        <f t="shared" si="3"/>
        <v>0</v>
      </c>
      <c r="K81" s="249"/>
    </row>
    <row r="82" spans="1:12" ht="15" x14ac:dyDescent="0.25">
      <c r="A82" s="116"/>
      <c r="B82" s="95" t="s">
        <v>204</v>
      </c>
      <c r="C82" s="89">
        <v>1111792</v>
      </c>
      <c r="D82" s="89">
        <v>394081</v>
      </c>
      <c r="E82" s="89">
        <v>2088306</v>
      </c>
      <c r="F82" s="89" t="s">
        <v>451</v>
      </c>
      <c r="G82" s="89" t="s">
        <v>452</v>
      </c>
      <c r="H82" s="89" t="s">
        <v>393</v>
      </c>
      <c r="I82" s="214" t="s">
        <v>455</v>
      </c>
      <c r="J82" s="89">
        <f t="shared" si="3"/>
        <v>3594179</v>
      </c>
      <c r="K82" s="249"/>
    </row>
    <row r="83" spans="1:12" ht="15" hidden="1" x14ac:dyDescent="0.25">
      <c r="A83" s="116"/>
      <c r="B83" s="95" t="s">
        <v>205</v>
      </c>
      <c r="C83" s="89" t="s">
        <v>393</v>
      </c>
      <c r="D83" s="89" t="s">
        <v>498</v>
      </c>
      <c r="E83" s="89" t="s">
        <v>450</v>
      </c>
      <c r="F83" s="89" t="s">
        <v>451</v>
      </c>
      <c r="G83" s="89" t="s">
        <v>452</v>
      </c>
      <c r="H83" s="89" t="s">
        <v>393</v>
      </c>
      <c r="I83" s="214" t="s">
        <v>455</v>
      </c>
      <c r="J83" s="89">
        <f t="shared" si="3"/>
        <v>0</v>
      </c>
      <c r="K83" s="249"/>
    </row>
    <row r="84" spans="1:12" x14ac:dyDescent="0.2">
      <c r="A84" s="116"/>
      <c r="B84" s="95" t="s">
        <v>206</v>
      </c>
      <c r="C84" s="89">
        <v>172053</v>
      </c>
      <c r="D84" s="89">
        <v>66274</v>
      </c>
      <c r="E84" s="89">
        <v>939718</v>
      </c>
      <c r="F84" s="89" t="s">
        <v>451</v>
      </c>
      <c r="G84" s="89" t="s">
        <v>452</v>
      </c>
      <c r="H84" s="89" t="s">
        <v>393</v>
      </c>
      <c r="I84" s="214" t="s">
        <v>455</v>
      </c>
      <c r="J84" s="89">
        <f t="shared" si="3"/>
        <v>1178045</v>
      </c>
      <c r="K84" s="252"/>
    </row>
    <row r="85" spans="1:12" hidden="1" x14ac:dyDescent="0.2">
      <c r="A85" s="116"/>
      <c r="B85" s="95" t="s">
        <v>207</v>
      </c>
      <c r="C85" s="89" t="s">
        <v>393</v>
      </c>
      <c r="D85" s="89" t="s">
        <v>498</v>
      </c>
      <c r="E85" s="89" t="s">
        <v>450</v>
      </c>
      <c r="F85" s="89" t="s">
        <v>451</v>
      </c>
      <c r="G85" s="89" t="s">
        <v>452</v>
      </c>
      <c r="H85" s="89" t="s">
        <v>393</v>
      </c>
      <c r="I85" s="214" t="s">
        <v>455</v>
      </c>
      <c r="J85" s="89">
        <f t="shared" si="3"/>
        <v>0</v>
      </c>
      <c r="K85" s="252"/>
    </row>
    <row r="86" spans="1:12" ht="15" x14ac:dyDescent="0.25">
      <c r="A86" s="116"/>
      <c r="B86" s="95" t="s">
        <v>208</v>
      </c>
      <c r="C86" s="89" t="s">
        <v>393</v>
      </c>
      <c r="D86" s="89" t="s">
        <v>498</v>
      </c>
      <c r="E86" s="89">
        <v>84254</v>
      </c>
      <c r="F86" s="89" t="s">
        <v>451</v>
      </c>
      <c r="G86" s="89" t="s">
        <v>452</v>
      </c>
      <c r="H86" s="89" t="s">
        <v>393</v>
      </c>
      <c r="I86" s="214" t="s">
        <v>455</v>
      </c>
      <c r="J86" s="89">
        <f t="shared" si="3"/>
        <v>84254</v>
      </c>
      <c r="K86" s="249"/>
    </row>
    <row r="87" spans="1:12" ht="15" hidden="1" x14ac:dyDescent="0.25">
      <c r="A87" s="116"/>
      <c r="B87" s="95" t="s">
        <v>209</v>
      </c>
      <c r="C87" s="89" t="s">
        <v>393</v>
      </c>
      <c r="D87" s="89" t="s">
        <v>498</v>
      </c>
      <c r="E87" s="89" t="s">
        <v>450</v>
      </c>
      <c r="F87" s="89" t="s">
        <v>451</v>
      </c>
      <c r="G87" s="89" t="s">
        <v>452</v>
      </c>
      <c r="H87" s="89" t="s">
        <v>393</v>
      </c>
      <c r="I87" s="214" t="s">
        <v>455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210</v>
      </c>
      <c r="C88" s="89" t="s">
        <v>393</v>
      </c>
      <c r="D88" s="89" t="s">
        <v>498</v>
      </c>
      <c r="E88" s="89" t="s">
        <v>450</v>
      </c>
      <c r="F88" s="89" t="s">
        <v>451</v>
      </c>
      <c r="G88" s="89" t="s">
        <v>452</v>
      </c>
      <c r="H88" s="89" t="s">
        <v>393</v>
      </c>
      <c r="I88" s="214" t="s">
        <v>455</v>
      </c>
      <c r="J88" s="89">
        <f t="shared" si="3"/>
        <v>0</v>
      </c>
      <c r="K88" s="249"/>
      <c r="L88" s="77"/>
    </row>
    <row r="89" spans="1:12" ht="15" hidden="1" x14ac:dyDescent="0.25">
      <c r="A89" s="116"/>
      <c r="B89" s="95" t="s">
        <v>211</v>
      </c>
      <c r="C89" s="89" t="s">
        <v>393</v>
      </c>
      <c r="D89" s="89" t="s">
        <v>498</v>
      </c>
      <c r="E89" s="89" t="s">
        <v>450</v>
      </c>
      <c r="F89" s="89" t="s">
        <v>451</v>
      </c>
      <c r="G89" s="89" t="s">
        <v>452</v>
      </c>
      <c r="H89" s="89" t="s">
        <v>393</v>
      </c>
      <c r="I89" s="214" t="s">
        <v>455</v>
      </c>
      <c r="J89" s="89">
        <f t="shared" si="3"/>
        <v>0</v>
      </c>
      <c r="K89" s="249"/>
      <c r="L89" s="77"/>
    </row>
    <row r="90" spans="1:12" ht="15" hidden="1" x14ac:dyDescent="0.25">
      <c r="A90" s="116"/>
      <c r="B90" s="95" t="s">
        <v>212</v>
      </c>
      <c r="C90" s="89" t="s">
        <v>393</v>
      </c>
      <c r="D90" s="89" t="s">
        <v>498</v>
      </c>
      <c r="E90" s="89" t="s">
        <v>450</v>
      </c>
      <c r="F90" s="89" t="s">
        <v>451</v>
      </c>
      <c r="G90" s="89" t="s">
        <v>452</v>
      </c>
      <c r="H90" s="89" t="s">
        <v>393</v>
      </c>
      <c r="I90" s="214" t="s">
        <v>455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213</v>
      </c>
      <c r="C91" s="89" t="s">
        <v>393</v>
      </c>
      <c r="D91" s="89" t="s">
        <v>498</v>
      </c>
      <c r="E91" s="89" t="s">
        <v>450</v>
      </c>
      <c r="F91" s="89" t="s">
        <v>451</v>
      </c>
      <c r="G91" s="89" t="s">
        <v>452</v>
      </c>
      <c r="H91" s="89" t="s">
        <v>393</v>
      </c>
      <c r="I91" s="214" t="s">
        <v>455</v>
      </c>
      <c r="J91" s="89">
        <f t="shared" si="3"/>
        <v>0</v>
      </c>
      <c r="K91" s="249"/>
      <c r="L91" s="77"/>
    </row>
    <row r="92" spans="1:12" hidden="1" x14ac:dyDescent="0.2">
      <c r="A92" s="116"/>
      <c r="B92" s="95" t="s">
        <v>214</v>
      </c>
      <c r="C92" s="89" t="s">
        <v>393</v>
      </c>
      <c r="D92" s="89" t="s">
        <v>498</v>
      </c>
      <c r="E92" s="89" t="s">
        <v>450</v>
      </c>
      <c r="F92" s="89" t="s">
        <v>451</v>
      </c>
      <c r="G92" s="89" t="s">
        <v>452</v>
      </c>
      <c r="H92" s="89" t="s">
        <v>393</v>
      </c>
      <c r="I92" s="214" t="s">
        <v>455</v>
      </c>
      <c r="J92" s="89">
        <f t="shared" si="3"/>
        <v>0</v>
      </c>
      <c r="K92" s="252"/>
    </row>
    <row r="93" spans="1:12" hidden="1" x14ac:dyDescent="0.2">
      <c r="A93" s="116"/>
      <c r="B93" s="95" t="s">
        <v>215</v>
      </c>
      <c r="C93" s="89" t="s">
        <v>393</v>
      </c>
      <c r="D93" s="89" t="s">
        <v>498</v>
      </c>
      <c r="E93" s="89" t="s">
        <v>450</v>
      </c>
      <c r="F93" s="89" t="s">
        <v>451</v>
      </c>
      <c r="G93" s="89" t="s">
        <v>452</v>
      </c>
      <c r="H93" s="89" t="s">
        <v>393</v>
      </c>
      <c r="I93" s="214" t="s">
        <v>455</v>
      </c>
      <c r="J93" s="89">
        <f t="shared" si="3"/>
        <v>0</v>
      </c>
      <c r="K93" s="252"/>
    </row>
    <row r="94" spans="1:12" hidden="1" x14ac:dyDescent="0.2">
      <c r="A94" s="116"/>
      <c r="B94" s="95" t="s">
        <v>216</v>
      </c>
      <c r="C94" s="89" t="s">
        <v>393</v>
      </c>
      <c r="D94" s="89" t="s">
        <v>498</v>
      </c>
      <c r="E94" s="89" t="s">
        <v>450</v>
      </c>
      <c r="F94" s="89" t="s">
        <v>451</v>
      </c>
      <c r="G94" s="89" t="s">
        <v>452</v>
      </c>
      <c r="H94" s="89" t="s">
        <v>393</v>
      </c>
      <c r="I94" s="214" t="s">
        <v>455</v>
      </c>
      <c r="J94" s="89">
        <f t="shared" si="3"/>
        <v>0</v>
      </c>
      <c r="K94" s="252"/>
    </row>
    <row r="95" spans="1:12" hidden="1" x14ac:dyDescent="0.2">
      <c r="A95" s="116"/>
      <c r="B95" s="95" t="s">
        <v>217</v>
      </c>
      <c r="C95" s="89" t="s">
        <v>393</v>
      </c>
      <c r="D95" s="89" t="s">
        <v>498</v>
      </c>
      <c r="E95" s="89" t="s">
        <v>450</v>
      </c>
      <c r="F95" s="89" t="s">
        <v>451</v>
      </c>
      <c r="G95" s="89" t="s">
        <v>452</v>
      </c>
      <c r="H95" s="89" t="s">
        <v>393</v>
      </c>
      <c r="I95" s="214" t="s">
        <v>455</v>
      </c>
      <c r="J95" s="89">
        <f t="shared" si="3"/>
        <v>0</v>
      </c>
      <c r="K95" s="252"/>
    </row>
    <row r="96" spans="1:12" hidden="1" x14ac:dyDescent="0.2">
      <c r="A96" s="116"/>
      <c r="B96" s="95" t="s">
        <v>218</v>
      </c>
      <c r="C96" s="89" t="s">
        <v>393</v>
      </c>
      <c r="D96" s="89" t="s">
        <v>498</v>
      </c>
      <c r="E96" s="89" t="s">
        <v>450</v>
      </c>
      <c r="F96" s="89" t="s">
        <v>451</v>
      </c>
      <c r="G96" s="89" t="s">
        <v>452</v>
      </c>
      <c r="H96" s="89" t="s">
        <v>393</v>
      </c>
      <c r="I96" s="214" t="s">
        <v>455</v>
      </c>
      <c r="J96" s="89">
        <f t="shared" si="3"/>
        <v>0</v>
      </c>
      <c r="K96" s="252"/>
    </row>
    <row r="97" spans="1:11" hidden="1" x14ac:dyDescent="0.2">
      <c r="A97" s="116"/>
      <c r="B97" s="95" t="s">
        <v>219</v>
      </c>
      <c r="C97" s="89" t="s">
        <v>393</v>
      </c>
      <c r="D97" s="89" t="s">
        <v>498</v>
      </c>
      <c r="E97" s="89" t="s">
        <v>450</v>
      </c>
      <c r="F97" s="89" t="s">
        <v>451</v>
      </c>
      <c r="G97" s="89" t="s">
        <v>452</v>
      </c>
      <c r="H97" s="89" t="s">
        <v>393</v>
      </c>
      <c r="I97" s="214" t="s">
        <v>455</v>
      </c>
      <c r="J97" s="89">
        <f t="shared" si="3"/>
        <v>0</v>
      </c>
      <c r="K97" s="252"/>
    </row>
    <row r="98" spans="1:11" ht="15" hidden="1" x14ac:dyDescent="0.25">
      <c r="A98" s="251"/>
      <c r="B98" s="100" t="s">
        <v>220</v>
      </c>
      <c r="C98" s="89" t="s">
        <v>393</v>
      </c>
      <c r="D98" s="89" t="s">
        <v>498</v>
      </c>
      <c r="E98" s="89" t="s">
        <v>450</v>
      </c>
      <c r="F98" s="89" t="s">
        <v>451</v>
      </c>
      <c r="G98" s="89" t="s">
        <v>452</v>
      </c>
      <c r="H98" s="89" t="s">
        <v>393</v>
      </c>
      <c r="I98" s="214" t="s">
        <v>455</v>
      </c>
      <c r="J98" s="89">
        <f t="shared" si="3"/>
        <v>0</v>
      </c>
      <c r="K98" s="249"/>
    </row>
    <row r="99" spans="1:11" ht="15" hidden="1" x14ac:dyDescent="0.25">
      <c r="A99" s="251"/>
      <c r="B99" s="100" t="s">
        <v>221</v>
      </c>
      <c r="C99" s="89" t="s">
        <v>393</v>
      </c>
      <c r="D99" s="89" t="s">
        <v>498</v>
      </c>
      <c r="E99" s="89" t="s">
        <v>450</v>
      </c>
      <c r="F99" s="89" t="s">
        <v>451</v>
      </c>
      <c r="G99" s="89" t="s">
        <v>452</v>
      </c>
      <c r="H99" s="89" t="s">
        <v>393</v>
      </c>
      <c r="I99" s="214" t="s">
        <v>455</v>
      </c>
      <c r="J99" s="89">
        <f t="shared" si="3"/>
        <v>0</v>
      </c>
      <c r="K99" s="249"/>
    </row>
    <row r="100" spans="1:11" hidden="1" x14ac:dyDescent="0.2">
      <c r="A100" s="210" t="s">
        <v>10</v>
      </c>
      <c r="B100" s="211" t="s">
        <v>142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214">
        <v>0</v>
      </c>
      <c r="J100" s="89">
        <f t="shared" si="3"/>
        <v>0</v>
      </c>
      <c r="K100" s="255"/>
    </row>
    <row r="101" spans="1:11" hidden="1" x14ac:dyDescent="0.2">
      <c r="A101" s="210" t="s">
        <v>10</v>
      </c>
      <c r="B101" s="211" t="s">
        <v>141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33</v>
      </c>
      <c r="B102" s="211" t="s">
        <v>222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hidden="1" x14ac:dyDescent="0.2">
      <c r="A103" s="210" t="s">
        <v>10</v>
      </c>
      <c r="B103" s="211" t="s">
        <v>138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0</v>
      </c>
      <c r="J103" s="89">
        <f t="shared" si="3"/>
        <v>0</v>
      </c>
      <c r="K103" s="255"/>
    </row>
    <row r="104" spans="1:11" hidden="1" x14ac:dyDescent="0.2">
      <c r="A104" s="210" t="s">
        <v>10</v>
      </c>
      <c r="B104" s="211" t="s">
        <v>136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214">
        <v>0</v>
      </c>
      <c r="J104" s="89">
        <f t="shared" si="3"/>
        <v>0</v>
      </c>
      <c r="K104" s="255"/>
    </row>
    <row r="105" spans="1:11" hidden="1" x14ac:dyDescent="0.2">
      <c r="A105" s="257"/>
      <c r="B105" s="95" t="s">
        <v>223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252"/>
    </row>
    <row r="106" spans="1:11" hidden="1" x14ac:dyDescent="0.2">
      <c r="A106" s="257"/>
      <c r="B106" s="95" t="s">
        <v>224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252"/>
    </row>
    <row r="107" spans="1:11" x14ac:dyDescent="0.2">
      <c r="A107" s="257"/>
      <c r="B107" s="95" t="s">
        <v>225</v>
      </c>
      <c r="C107" s="89">
        <v>0</v>
      </c>
      <c r="D107" s="89">
        <v>0</v>
      </c>
      <c r="E107" s="89">
        <v>9000</v>
      </c>
      <c r="F107" s="89">
        <v>0</v>
      </c>
      <c r="G107" s="89">
        <v>0</v>
      </c>
      <c r="H107" s="89">
        <v>84015</v>
      </c>
      <c r="I107" s="214">
        <v>0</v>
      </c>
      <c r="J107" s="89">
        <f t="shared" si="3"/>
        <v>93015</v>
      </c>
      <c r="K107" s="252"/>
    </row>
    <row r="108" spans="1:11" hidden="1" x14ac:dyDescent="0.2">
      <c r="A108" s="257"/>
      <c r="B108" s="95" t="s">
        <v>226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252"/>
    </row>
    <row r="109" spans="1:11" ht="15" hidden="1" x14ac:dyDescent="0.25">
      <c r="A109" s="116"/>
      <c r="B109" s="95" t="s">
        <v>227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0</v>
      </c>
      <c r="J109" s="89">
        <f t="shared" si="3"/>
        <v>0</v>
      </c>
      <c r="K109" s="249"/>
    </row>
    <row r="110" spans="1:11" ht="15" hidden="1" x14ac:dyDescent="0.25">
      <c r="A110" s="116"/>
      <c r="B110" s="95" t="s">
        <v>228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214">
        <v>0</v>
      </c>
      <c r="J110" s="89">
        <f t="shared" si="3"/>
        <v>0</v>
      </c>
      <c r="K110" s="249"/>
    </row>
    <row r="111" spans="1:11" ht="15" hidden="1" x14ac:dyDescent="0.25">
      <c r="A111" s="116"/>
      <c r="B111" s="95" t="s">
        <v>229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214">
        <v>0</v>
      </c>
      <c r="J111" s="89">
        <f t="shared" si="3"/>
        <v>0</v>
      </c>
      <c r="K111" s="249"/>
    </row>
    <row r="112" spans="1:11" ht="15" hidden="1" x14ac:dyDescent="0.25">
      <c r="A112" s="116"/>
      <c r="B112" s="95" t="s">
        <v>230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231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232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0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233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234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49"/>
    </row>
    <row r="117" spans="1:11" ht="15" x14ac:dyDescent="0.25">
      <c r="A117" s="116"/>
      <c r="B117" s="95" t="s">
        <v>9</v>
      </c>
      <c r="C117" s="89">
        <v>3015366</v>
      </c>
      <c r="D117" s="89">
        <v>1305612</v>
      </c>
      <c r="E117" s="89">
        <v>177084</v>
      </c>
      <c r="F117" s="89">
        <v>0</v>
      </c>
      <c r="G117" s="89">
        <v>0</v>
      </c>
      <c r="H117" s="89">
        <v>0</v>
      </c>
      <c r="I117" s="214">
        <v>0</v>
      </c>
      <c r="J117" s="89">
        <f t="shared" si="3"/>
        <v>4498062</v>
      </c>
      <c r="K117" s="249"/>
    </row>
    <row r="118" spans="1:11" ht="15" hidden="1" x14ac:dyDescent="0.25">
      <c r="A118" s="116"/>
      <c r="B118" s="95" t="s">
        <v>235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214">
        <v>0</v>
      </c>
      <c r="J118" s="89">
        <f t="shared" si="3"/>
        <v>0</v>
      </c>
      <c r="K118" s="249"/>
    </row>
    <row r="119" spans="1:11" ht="15" x14ac:dyDescent="0.25">
      <c r="A119" s="116"/>
      <c r="B119" s="95" t="s">
        <v>236</v>
      </c>
      <c r="C119" s="89">
        <v>1733219</v>
      </c>
      <c r="D119" s="89">
        <v>505834</v>
      </c>
      <c r="E119" s="89">
        <v>2348294</v>
      </c>
      <c r="F119" s="89">
        <v>0</v>
      </c>
      <c r="G119" s="89">
        <v>0</v>
      </c>
      <c r="H119" s="89">
        <v>0</v>
      </c>
      <c r="I119" s="214">
        <v>0</v>
      </c>
      <c r="J119" s="89">
        <f t="shared" si="3"/>
        <v>4587347</v>
      </c>
      <c r="K119" s="249"/>
    </row>
    <row r="120" spans="1:11" ht="15" hidden="1" x14ac:dyDescent="0.25">
      <c r="A120" s="116"/>
      <c r="B120" s="95" t="s">
        <v>237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214">
        <v>0</v>
      </c>
      <c r="J120" s="89">
        <f t="shared" si="3"/>
        <v>0</v>
      </c>
      <c r="K120" s="249"/>
    </row>
    <row r="121" spans="1:11" ht="15" hidden="1" x14ac:dyDescent="0.25">
      <c r="A121" s="116"/>
      <c r="B121" s="95" t="s">
        <v>238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214">
        <v>0</v>
      </c>
      <c r="J121" s="89">
        <f t="shared" si="3"/>
        <v>0</v>
      </c>
      <c r="K121" s="249"/>
    </row>
    <row r="122" spans="1:11" ht="15" hidden="1" x14ac:dyDescent="0.25">
      <c r="A122" s="251"/>
      <c r="B122" s="100" t="s">
        <v>239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251"/>
      <c r="B123" s="100" t="s">
        <v>240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0</v>
      </c>
      <c r="J123" s="89">
        <f t="shared" si="3"/>
        <v>0</v>
      </c>
      <c r="K123" s="249"/>
    </row>
    <row r="124" spans="1:11" ht="15" hidden="1" x14ac:dyDescent="0.25">
      <c r="A124" s="251"/>
      <c r="B124" s="100" t="s">
        <v>241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8"/>
      <c r="B125" s="244" t="s">
        <v>242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243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214">
        <v>0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244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x14ac:dyDescent="0.25">
      <c r="A128" s="260" t="s">
        <v>245</v>
      </c>
      <c r="B128" s="317"/>
      <c r="C128" s="89"/>
      <c r="D128" s="89"/>
      <c r="E128" s="89"/>
      <c r="F128" s="89"/>
      <c r="G128" s="89"/>
      <c r="H128" s="89"/>
      <c r="I128" s="214"/>
      <c r="J128" s="89"/>
      <c r="K128" s="249"/>
    </row>
    <row r="129" spans="1:11" ht="15" hidden="1" x14ac:dyDescent="0.25">
      <c r="A129" s="116"/>
      <c r="B129" s="95" t="s">
        <v>246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214">
        <v>0</v>
      </c>
      <c r="J129" s="89">
        <f t="shared" si="3"/>
        <v>0</v>
      </c>
      <c r="K129" s="249"/>
    </row>
    <row r="130" spans="1:11" hidden="1" x14ac:dyDescent="0.2">
      <c r="A130" s="251"/>
      <c r="B130" s="100" t="s">
        <v>247</v>
      </c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214">
        <v>0</v>
      </c>
      <c r="J130" s="89">
        <f t="shared" si="3"/>
        <v>0</v>
      </c>
      <c r="K130" s="252"/>
    </row>
    <row r="131" spans="1:11" hidden="1" x14ac:dyDescent="0.2">
      <c r="A131" s="116"/>
      <c r="B131" s="95" t="s">
        <v>248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249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ref="J132:J147" si="4">SUM(C132:I132)</f>
        <v>0</v>
      </c>
      <c r="K132" s="252"/>
    </row>
    <row r="133" spans="1:11" hidden="1" x14ac:dyDescent="0.2">
      <c r="A133" s="116"/>
      <c r="B133" s="95" t="s">
        <v>250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214">
        <v>0</v>
      </c>
      <c r="J133" s="89">
        <f t="shared" si="4"/>
        <v>0</v>
      </c>
      <c r="K133" s="92"/>
    </row>
    <row r="134" spans="1:11" hidden="1" x14ac:dyDescent="0.2">
      <c r="A134" s="116"/>
      <c r="B134" s="95" t="s">
        <v>251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252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253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254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255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256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257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hidden="1" x14ac:dyDescent="0.2">
      <c r="A141" s="116"/>
      <c r="B141" s="95" t="s">
        <v>258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0</v>
      </c>
      <c r="J141" s="89">
        <f t="shared" si="4"/>
        <v>0</v>
      </c>
      <c r="K141" s="92"/>
    </row>
    <row r="142" spans="1:11" x14ac:dyDescent="0.2">
      <c r="A142" s="116"/>
      <c r="B142" s="95" t="s">
        <v>259</v>
      </c>
      <c r="C142" s="89">
        <v>0</v>
      </c>
      <c r="D142" s="89">
        <v>0</v>
      </c>
      <c r="E142" s="89">
        <v>12000</v>
      </c>
      <c r="F142" s="89">
        <v>0</v>
      </c>
      <c r="G142" s="89">
        <v>0</v>
      </c>
      <c r="H142" s="89">
        <v>72018</v>
      </c>
      <c r="I142" s="214">
        <v>0</v>
      </c>
      <c r="J142" s="89">
        <f t="shared" si="4"/>
        <v>84018</v>
      </c>
      <c r="K142" s="92"/>
    </row>
    <row r="143" spans="1:11" x14ac:dyDescent="0.2">
      <c r="A143" s="116"/>
      <c r="B143" s="95" t="s">
        <v>260</v>
      </c>
      <c r="C143" s="89">
        <v>0</v>
      </c>
      <c r="D143" s="89">
        <v>0</v>
      </c>
      <c r="E143" s="89">
        <v>240000</v>
      </c>
      <c r="F143" s="89">
        <v>0</v>
      </c>
      <c r="G143" s="89">
        <v>0</v>
      </c>
      <c r="H143" s="89">
        <v>1347049</v>
      </c>
      <c r="I143" s="214">
        <v>0</v>
      </c>
      <c r="J143" s="89">
        <f t="shared" si="4"/>
        <v>1587049</v>
      </c>
      <c r="K143" s="92"/>
    </row>
    <row r="144" spans="1:11" ht="15.75" thickBot="1" x14ac:dyDescent="0.3">
      <c r="A144" s="261" t="s">
        <v>456</v>
      </c>
      <c r="B144" s="262"/>
      <c r="C144" s="263">
        <f>SUM(C55:C143)</f>
        <v>6776478</v>
      </c>
      <c r="D144" s="263">
        <f t="shared" ref="D144:H144" si="5">SUM(D55:D143)</f>
        <v>2613598</v>
      </c>
      <c r="E144" s="263">
        <f t="shared" si="5"/>
        <v>8589533</v>
      </c>
      <c r="F144" s="263">
        <f t="shared" si="5"/>
        <v>0</v>
      </c>
      <c r="G144" s="263">
        <f t="shared" si="5"/>
        <v>0</v>
      </c>
      <c r="H144" s="263">
        <f t="shared" si="5"/>
        <v>1856349</v>
      </c>
      <c r="I144" s="264">
        <f>SUM(I55:I143)</f>
        <v>0</v>
      </c>
      <c r="J144" s="265">
        <f t="shared" si="4"/>
        <v>19835958</v>
      </c>
      <c r="K144" s="266"/>
    </row>
    <row r="145" spans="1:10" ht="18.75" customHeight="1" thickBot="1" x14ac:dyDescent="0.3">
      <c r="A145" s="245" t="s">
        <v>457</v>
      </c>
      <c r="B145" s="246"/>
      <c r="C145" s="247">
        <f>C54+C144</f>
        <v>25903047</v>
      </c>
      <c r="D145" s="247">
        <f t="shared" ref="D145:I145" si="6">D54+D144</f>
        <v>11681105</v>
      </c>
      <c r="E145" s="247">
        <f t="shared" si="6"/>
        <v>14663319</v>
      </c>
      <c r="F145" s="247">
        <f t="shared" si="6"/>
        <v>4419443</v>
      </c>
      <c r="G145" s="247">
        <f t="shared" si="6"/>
        <v>0</v>
      </c>
      <c r="H145" s="247">
        <f t="shared" si="6"/>
        <v>4790610</v>
      </c>
      <c r="I145" s="248">
        <f t="shared" si="6"/>
        <v>0</v>
      </c>
      <c r="J145" s="236">
        <f t="shared" si="4"/>
        <v>61457524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0</v>
      </c>
      <c r="F146" s="269">
        <v>-4419443</v>
      </c>
      <c r="G146" s="269">
        <v>0</v>
      </c>
      <c r="H146" s="269">
        <v>0</v>
      </c>
      <c r="I146" s="270">
        <v>0</v>
      </c>
      <c r="J146" s="144">
        <f t="shared" si="4"/>
        <v>-4419443</v>
      </c>
    </row>
    <row r="147" spans="1:10" ht="21.75" customHeight="1" thickBot="1" x14ac:dyDescent="0.3">
      <c r="A147" s="271" t="s">
        <v>459</v>
      </c>
      <c r="B147" s="103"/>
      <c r="C147" s="272">
        <f>C145+C146</f>
        <v>25903047</v>
      </c>
      <c r="D147" s="272">
        <f t="shared" ref="D147:I147" si="7">D145+D146</f>
        <v>11681105</v>
      </c>
      <c r="E147" s="272">
        <f t="shared" si="7"/>
        <v>14663319</v>
      </c>
      <c r="F147" s="272">
        <f t="shared" si="7"/>
        <v>0</v>
      </c>
      <c r="G147" s="272">
        <f t="shared" si="7"/>
        <v>0</v>
      </c>
      <c r="H147" s="272">
        <f t="shared" si="7"/>
        <v>4790610</v>
      </c>
      <c r="I147" s="272">
        <f t="shared" si="7"/>
        <v>0</v>
      </c>
      <c r="J147" s="272">
        <f t="shared" si="4"/>
        <v>57038081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74"/>
      <c r="J148" s="274"/>
    </row>
    <row r="149" spans="1:10" x14ac:dyDescent="0.2">
      <c r="A149" s="275"/>
      <c r="B149" s="191" t="str">
        <f>'PCFP - All Revenue AA-1 R-8'!C81</f>
        <v>Humboldt County School District</v>
      </c>
      <c r="C149" s="274" t="s">
        <v>428</v>
      </c>
      <c r="D149" s="274"/>
      <c r="E149" s="276"/>
      <c r="F149" s="276"/>
      <c r="G149" s="276"/>
      <c r="H149" s="274"/>
      <c r="I149" s="274"/>
      <c r="J149" s="274"/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H150" s="274"/>
      <c r="I150" s="274"/>
      <c r="J150" s="274"/>
    </row>
    <row r="151" spans="1:10" x14ac:dyDescent="0.2">
      <c r="H151" s="280" t="s">
        <v>492</v>
      </c>
      <c r="I151" s="280"/>
      <c r="J151" s="191" t="s">
        <v>493</v>
      </c>
    </row>
    <row r="152" spans="1:10" x14ac:dyDescent="0.2">
      <c r="J152" s="278" t="str">
        <f>"Budget Fiscal Year "&amp;TEXT('[8]Form 1'!$C$136, "mm/dd/yy")</f>
        <v>Budget Fiscal Year 2019-2020</v>
      </c>
    </row>
    <row r="153" spans="1:10" x14ac:dyDescent="0.2">
      <c r="J153" s="280" t="s">
        <v>461</v>
      </c>
    </row>
  </sheetData>
  <pageMargins left="0.55000000000000004" right="0" top="0.5" bottom="0.25" header="0.5" footer="0"/>
  <pageSetup scale="73" fitToHeight="3" orientation="landscape" r:id="rId1"/>
  <headerFooter alignWithMargins="0">
    <oddFooter>&amp;C&amp;8FORM 4405LGF
Last Revised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AF030-8E0A-4963-8F84-A369A7A9330E}">
  <dimension ref="A2:I19"/>
  <sheetViews>
    <sheetView showGridLines="0" zoomScaleNormal="100" workbookViewId="0">
      <selection activeCell="K25" sqref="K25"/>
    </sheetView>
  </sheetViews>
  <sheetFormatPr defaultColWidth="8.85546875" defaultRowHeight="12.75" x14ac:dyDescent="0.2"/>
  <sheetData>
    <row r="2" spans="1:9" ht="18" x14ac:dyDescent="0.25">
      <c r="A2" s="6" t="s">
        <v>643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  <row r="19" spans="2:2" x14ac:dyDescent="0.2">
      <c r="B19" s="3" t="s">
        <v>463</v>
      </c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4B87-F8E5-4CB9-9C92-CFBE2A01F9E1}">
  <dimension ref="A1:G163"/>
  <sheetViews>
    <sheetView showGridLines="0" zoomScale="85" zoomScaleNormal="85" workbookViewId="0">
      <selection activeCell="C41" sqref="C41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5.28515625" style="12" bestFit="1" customWidth="1"/>
    <col min="4" max="4" width="18" style="12" bestFit="1" customWidth="1"/>
    <col min="5" max="5" width="19.7109375" customWidth="1"/>
    <col min="6" max="6" width="11.2851562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10" t="s">
        <v>644</v>
      </c>
      <c r="D1" s="10" t="s">
        <v>119</v>
      </c>
    </row>
    <row r="2" spans="1:5" x14ac:dyDescent="0.2">
      <c r="E2" s="2"/>
    </row>
    <row r="3" spans="1:5" s="526" customFormat="1" ht="38.25" x14ac:dyDescent="0.2">
      <c r="A3" s="13"/>
      <c r="B3" s="13" t="s">
        <v>120</v>
      </c>
      <c r="C3" s="14" t="s">
        <v>545</v>
      </c>
      <c r="D3" s="14" t="s">
        <v>645</v>
      </c>
      <c r="E3" s="13" t="s">
        <v>123</v>
      </c>
    </row>
    <row r="4" spans="1:5" x14ac:dyDescent="0.2">
      <c r="B4" s="3"/>
    </row>
    <row r="5" spans="1:5" x14ac:dyDescent="0.2">
      <c r="B5" s="16" t="s">
        <v>124</v>
      </c>
      <c r="C5" s="43">
        <f>'19_20 District Budget-9'!U33</f>
        <v>17689388</v>
      </c>
      <c r="D5" s="43">
        <f>SUM('PCFP - All Revenue AA-1 R-9'!F33,'PCFP - All Revenue AA-1 R-9'!H33)</f>
        <v>2401997.81</v>
      </c>
      <c r="E5" s="44">
        <f>D5-C5</f>
        <v>-15287390.189999999</v>
      </c>
    </row>
    <row r="6" spans="1:5" x14ac:dyDescent="0.2">
      <c r="C6" s="43"/>
      <c r="D6" s="43"/>
      <c r="E6" s="44"/>
    </row>
    <row r="7" spans="1:5" x14ac:dyDescent="0.2">
      <c r="B7" s="16" t="s">
        <v>125</v>
      </c>
      <c r="C7" s="43">
        <f>'19_20 District Budget-9'!U46</f>
        <v>1995862</v>
      </c>
      <c r="D7" s="43">
        <f>SUM('PCFP - All Revenue AA-1 R-9'!F49,'PCFP - All Revenue AA-1 R-9'!H49)</f>
        <v>12872889.010938533</v>
      </c>
      <c r="E7" s="44">
        <f>D7-C7</f>
        <v>10877027.010938533</v>
      </c>
    </row>
    <row r="8" spans="1:5" x14ac:dyDescent="0.2">
      <c r="C8" s="43"/>
      <c r="D8" s="43"/>
      <c r="E8" s="44"/>
    </row>
    <row r="9" spans="1:5" x14ac:dyDescent="0.2">
      <c r="B9" s="16" t="s">
        <v>126</v>
      </c>
      <c r="C9" s="43">
        <f>'19_20 District Budget-9'!U60</f>
        <v>620466</v>
      </c>
      <c r="D9" s="43">
        <f>SUM('PCFP - All Revenue AA-1 R-9'!F57,'PCFP - All Revenue AA-1 R-9'!H57)</f>
        <v>606297.36</v>
      </c>
      <c r="E9" s="44">
        <f>D9-C9</f>
        <v>-14168.640000000014</v>
      </c>
    </row>
    <row r="10" spans="1:5" x14ac:dyDescent="0.2">
      <c r="C10" s="43"/>
      <c r="D10" s="43"/>
      <c r="E10" s="44"/>
    </row>
    <row r="11" spans="1:5" x14ac:dyDescent="0.2">
      <c r="B11" s="16" t="s">
        <v>127</v>
      </c>
      <c r="C11" s="43">
        <f>'19_20 District Budget-9'!U67</f>
        <v>2500</v>
      </c>
      <c r="D11" s="43">
        <f>+SUM('PCFP - All Revenue AA-1 R-9'!F67,'PCFP - All Revenue AA-1 R-9'!H67)</f>
        <v>23942</v>
      </c>
      <c r="E11" s="44">
        <f>D11-C11</f>
        <v>21442</v>
      </c>
    </row>
    <row r="12" spans="1:5" x14ac:dyDescent="0.2">
      <c r="C12" s="43"/>
      <c r="D12" s="43"/>
      <c r="E12" s="44"/>
    </row>
    <row r="13" spans="1:5" s="2" customFormat="1" x14ac:dyDescent="0.2">
      <c r="B13" s="18" t="s">
        <v>128</v>
      </c>
      <c r="C13" s="40">
        <f t="shared" ref="C13" si="0">SUM(C5:C12)</f>
        <v>20308216</v>
      </c>
      <c r="D13" s="40">
        <f>SUM(D5:D12)</f>
        <v>15905126.180938533</v>
      </c>
      <c r="E13" s="41">
        <f>D13-C13</f>
        <v>-4403089.8190614674</v>
      </c>
    </row>
    <row r="14" spans="1:5" x14ac:dyDescent="0.2">
      <c r="C14" s="43"/>
      <c r="D14" s="43"/>
      <c r="E14" s="44"/>
    </row>
    <row r="15" spans="1:5" x14ac:dyDescent="0.2">
      <c r="B15" s="16" t="s">
        <v>129</v>
      </c>
      <c r="C15" s="43">
        <f>'19_20 District Budget-9'!U78</f>
        <v>18650881</v>
      </c>
      <c r="D15" s="43">
        <f>SUM('PCFP - All Revenue AA-1 R-9'!F71,'PCFP - All Revenue AA-1 R-9'!H71)</f>
        <v>18442786</v>
      </c>
      <c r="E15" s="328">
        <f>D15-C15</f>
        <v>-208095</v>
      </c>
    </row>
    <row r="16" spans="1:5" x14ac:dyDescent="0.2">
      <c r="C16" s="43"/>
      <c r="D16" s="43"/>
      <c r="E16" s="44"/>
    </row>
    <row r="17" spans="1:7" x14ac:dyDescent="0.2">
      <c r="A17" s="22"/>
      <c r="B17" s="23" t="s">
        <v>306</v>
      </c>
      <c r="C17" s="47">
        <f>SUM(C13:C15)</f>
        <v>38959097</v>
      </c>
      <c r="D17" s="47">
        <f>SUM(D13:D15)</f>
        <v>34347912.180938534</v>
      </c>
      <c r="E17" s="48">
        <f>D17-C17</f>
        <v>-4611184.8190614656</v>
      </c>
      <c r="F17" s="26"/>
      <c r="G17" s="17"/>
    </row>
    <row r="18" spans="1:7" s="2" customFormat="1" x14ac:dyDescent="0.2">
      <c r="A18" s="27"/>
      <c r="B18" s="28" t="s">
        <v>131</v>
      </c>
      <c r="C18" s="50">
        <f>SUM(C21,C38,C72,C74)</f>
        <v>38959097</v>
      </c>
      <c r="D18" s="50">
        <f>SUM(D21,D38,D72,D74)+0.5</f>
        <v>38959096.93</v>
      </c>
      <c r="E18" s="329">
        <f>D18-C18</f>
        <v>-7.0000000298023224E-2</v>
      </c>
      <c r="F18" s="26"/>
    </row>
    <row r="19" spans="1:7" x14ac:dyDescent="0.2">
      <c r="A19" s="30"/>
      <c r="B19" s="286" t="s">
        <v>132</v>
      </c>
      <c r="C19" s="530">
        <f>C17-C18</f>
        <v>0</v>
      </c>
      <c r="D19" s="530">
        <f>D17-D18</f>
        <v>-4611184.7490614653</v>
      </c>
      <c r="E19" s="51">
        <f>D19-C19</f>
        <v>-4611184.7490614653</v>
      </c>
      <c r="F19" s="26"/>
    </row>
    <row r="20" spans="1:7" x14ac:dyDescent="0.2">
      <c r="C20" s="43"/>
      <c r="D20" s="43"/>
      <c r="E20" s="44"/>
      <c r="F20" s="26"/>
    </row>
    <row r="21" spans="1:7" s="3" customFormat="1" x14ac:dyDescent="0.2">
      <c r="B21" s="3" t="s">
        <v>468</v>
      </c>
      <c r="C21" s="328">
        <f>SUM(C22:C36)</f>
        <v>8473891</v>
      </c>
      <c r="D21" s="328">
        <f>SUM(D22:D36)</f>
        <v>5990130</v>
      </c>
      <c r="E21" s="484"/>
      <c r="F21" s="26"/>
    </row>
    <row r="22" spans="1:7" s="3" customFormat="1" hidden="1" x14ac:dyDescent="0.2">
      <c r="A22" s="3">
        <v>100</v>
      </c>
      <c r="B22" s="3" t="s">
        <v>134</v>
      </c>
      <c r="C22" s="328">
        <f>'19_20 District Budget-9'!U85</f>
        <v>5952411.75</v>
      </c>
      <c r="D22" s="328">
        <f>'PCFP-All Expense AA-1 Modif-9'!J3</f>
        <v>5227000</v>
      </c>
      <c r="E22" s="487"/>
      <c r="F22" s="26"/>
    </row>
    <row r="23" spans="1:7" s="3" customFormat="1" hidden="1" x14ac:dyDescent="0.2">
      <c r="A23" s="3">
        <v>200</v>
      </c>
      <c r="B23" s="3" t="s">
        <v>135</v>
      </c>
      <c r="C23" s="328">
        <f>'19_20 District Budget-9'!U86</f>
        <v>1463912</v>
      </c>
      <c r="D23" s="328">
        <f>'PCFP-All Expense AA-1 Modif-9'!J4</f>
        <v>0</v>
      </c>
      <c r="E23" s="487"/>
      <c r="F23" s="26"/>
    </row>
    <row r="24" spans="1:7" s="3" customFormat="1" hidden="1" x14ac:dyDescent="0.2">
      <c r="A24" s="3" t="s">
        <v>10</v>
      </c>
      <c r="B24" s="3" t="s">
        <v>136</v>
      </c>
      <c r="C24" s="328">
        <f>'19_20 District Budget-9'!U87</f>
        <v>0</v>
      </c>
      <c r="D24" s="328">
        <f>'PCFP-All Expense AA-1 Modif-9'!J5</f>
        <v>0</v>
      </c>
      <c r="E24" s="487"/>
      <c r="F24" s="26"/>
    </row>
    <row r="25" spans="1:7" s="3" customFormat="1" hidden="1" x14ac:dyDescent="0.2">
      <c r="A25" s="3">
        <v>270</v>
      </c>
      <c r="B25" s="3" t="s">
        <v>137</v>
      </c>
      <c r="C25" s="328">
        <f>'19_20 District Budget-9'!U88</f>
        <v>0</v>
      </c>
      <c r="D25" s="328">
        <f>'PCFP-All Expense AA-1 Modif-9'!J6</f>
        <v>0</v>
      </c>
      <c r="E25" s="487"/>
      <c r="F25" s="26"/>
    </row>
    <row r="26" spans="1:7" s="3" customFormat="1" hidden="1" x14ac:dyDescent="0.2">
      <c r="A26" s="3" t="s">
        <v>10</v>
      </c>
      <c r="B26" s="3" t="s">
        <v>138</v>
      </c>
      <c r="C26" s="328">
        <f>'19_20 District Budget-9'!U89</f>
        <v>0</v>
      </c>
      <c r="D26" s="328">
        <f>'PCFP-All Expense AA-1 Modif-9'!J7</f>
        <v>0</v>
      </c>
      <c r="E26" s="487"/>
      <c r="F26" s="26"/>
    </row>
    <row r="27" spans="1:7" s="3" customFormat="1" hidden="1" x14ac:dyDescent="0.2">
      <c r="A27" s="3">
        <v>300</v>
      </c>
      <c r="B27" s="3" t="s">
        <v>139</v>
      </c>
      <c r="C27" s="328">
        <f>'19_20 District Budget-9'!U90</f>
        <v>652982.25</v>
      </c>
      <c r="D27" s="328">
        <f>'PCFP-All Expense AA-1 Modif-9'!J8</f>
        <v>358545</v>
      </c>
      <c r="E27" s="487"/>
      <c r="F27" s="26"/>
    </row>
    <row r="28" spans="1:7" s="3" customFormat="1" hidden="1" x14ac:dyDescent="0.2">
      <c r="A28" s="3">
        <v>400</v>
      </c>
      <c r="B28" s="3" t="s">
        <v>140</v>
      </c>
      <c r="C28" s="328">
        <f>'19_20 District Budget-9'!U91</f>
        <v>60630</v>
      </c>
      <c r="D28" s="328">
        <f>'PCFP-All Expense AA-1 Modif-9'!J9</f>
        <v>60630</v>
      </c>
      <c r="E28" s="487"/>
      <c r="F28" s="26"/>
    </row>
    <row r="29" spans="1:7" s="3" customFormat="1" hidden="1" x14ac:dyDescent="0.2">
      <c r="A29" s="3" t="s">
        <v>10</v>
      </c>
      <c r="B29" s="3" t="s">
        <v>141</v>
      </c>
      <c r="C29" s="328">
        <f>'19_20 District Budget-9'!U92</f>
        <v>0</v>
      </c>
      <c r="D29" s="328">
        <f>'PCFP-All Expense AA-1 Modif-9'!J10</f>
        <v>0</v>
      </c>
      <c r="E29" s="487"/>
      <c r="F29" s="26"/>
    </row>
    <row r="30" spans="1:7" s="3" customFormat="1" hidden="1" x14ac:dyDescent="0.2">
      <c r="A30" s="3" t="s">
        <v>10</v>
      </c>
      <c r="B30" s="3" t="s">
        <v>142</v>
      </c>
      <c r="C30" s="328">
        <f>'19_20 District Budget-9'!U93</f>
        <v>0</v>
      </c>
      <c r="D30" s="328">
        <f>'PCFP-All Expense AA-1 Modif-9'!J11</f>
        <v>0</v>
      </c>
      <c r="E30" s="487"/>
      <c r="F30" s="26"/>
    </row>
    <row r="31" spans="1:7" s="3" customFormat="1" hidden="1" x14ac:dyDescent="0.2">
      <c r="A31" s="3">
        <v>440</v>
      </c>
      <c r="B31" s="3" t="s">
        <v>143</v>
      </c>
      <c r="C31" s="328">
        <f>'19_20 District Budget-9'!U95</f>
        <v>0</v>
      </c>
      <c r="D31" s="328">
        <f>'PCFP-All Expense AA-1 Modif-9'!J12</f>
        <v>0</v>
      </c>
      <c r="E31" s="487"/>
      <c r="F31" s="26"/>
    </row>
    <row r="32" spans="1:7" s="3" customFormat="1" hidden="1" x14ac:dyDescent="0.2">
      <c r="A32" s="3">
        <v>500</v>
      </c>
      <c r="B32" s="3" t="s">
        <v>144</v>
      </c>
      <c r="C32" s="328">
        <f>'19_20 District Budget-9'!U96</f>
        <v>0</v>
      </c>
      <c r="D32" s="328">
        <f>'PCFP-All Expense AA-1 Modif-9'!J13</f>
        <v>0</v>
      </c>
      <c r="E32" s="487"/>
      <c r="F32" s="26"/>
    </row>
    <row r="33" spans="1:6" s="3" customFormat="1" hidden="1" x14ac:dyDescent="0.2">
      <c r="A33" s="3">
        <v>600</v>
      </c>
      <c r="B33" s="3" t="s">
        <v>145</v>
      </c>
      <c r="C33" s="328">
        <f>'19_20 District Budget-9'!U97</f>
        <v>0</v>
      </c>
      <c r="D33" s="328">
        <f>'PCFP-All Expense AA-1 Modif-9'!J14</f>
        <v>0</v>
      </c>
      <c r="E33" s="487"/>
      <c r="F33" s="26"/>
    </row>
    <row r="34" spans="1:6" s="3" customFormat="1" hidden="1" x14ac:dyDescent="0.2">
      <c r="A34" s="3">
        <v>800</v>
      </c>
      <c r="B34" s="3" t="s">
        <v>146</v>
      </c>
      <c r="C34" s="328">
        <f>'19_20 District Budget-9'!U98</f>
        <v>0</v>
      </c>
      <c r="D34" s="328">
        <f>'PCFP-All Expense AA-1 Modif-9'!J15</f>
        <v>0</v>
      </c>
      <c r="E34" s="487"/>
      <c r="F34" s="26"/>
    </row>
    <row r="35" spans="1:6" s="3" customFormat="1" hidden="1" x14ac:dyDescent="0.2">
      <c r="A35" s="3">
        <v>910</v>
      </c>
      <c r="B35" s="3" t="s">
        <v>147</v>
      </c>
      <c r="C35" s="328">
        <f>'19_20 District Budget-9'!U99</f>
        <v>59175</v>
      </c>
      <c r="D35" s="328">
        <f>'PCFP-All Expense AA-1 Modif-9'!J16</f>
        <v>59175</v>
      </c>
      <c r="E35" s="487"/>
      <c r="F35" s="26"/>
    </row>
    <row r="36" spans="1:6" s="3" customFormat="1" hidden="1" x14ac:dyDescent="0.2">
      <c r="A36" s="3">
        <v>920</v>
      </c>
      <c r="B36" s="3" t="s">
        <v>148</v>
      </c>
      <c r="C36" s="328">
        <f>'19_20 District Budget-9'!U100</f>
        <v>284780</v>
      </c>
      <c r="D36" s="328">
        <f>'PCFP-All Expense AA-1 Modif-9'!J17</f>
        <v>284780</v>
      </c>
      <c r="E36" s="487"/>
      <c r="F36" s="26">
        <f>SUM(D22:D36)-SUM('PCFP-All Expense AA-1 Modif-9'!J3:J17)</f>
        <v>0</v>
      </c>
    </row>
    <row r="37" spans="1:6" s="3" customFormat="1" x14ac:dyDescent="0.2">
      <c r="C37" s="328"/>
      <c r="D37" s="328"/>
      <c r="E37" s="487"/>
      <c r="F37" s="26"/>
    </row>
    <row r="38" spans="1:6" s="3" customFormat="1" x14ac:dyDescent="0.2">
      <c r="A38" s="3" t="s">
        <v>149</v>
      </c>
      <c r="B38" s="3" t="s">
        <v>150</v>
      </c>
      <c r="C38" s="328">
        <f>SUM(C39:C70)</f>
        <v>30600358</v>
      </c>
      <c r="D38" s="328">
        <f>SUM(D39:D70)</f>
        <v>17877851</v>
      </c>
      <c r="E38" s="487"/>
      <c r="F38" s="26"/>
    </row>
    <row r="39" spans="1:6" s="3" customFormat="1" hidden="1" x14ac:dyDescent="0.2">
      <c r="A39" s="3">
        <v>2000</v>
      </c>
      <c r="B39" s="3" t="s">
        <v>444</v>
      </c>
      <c r="C39" s="328">
        <f>'19_20 District Budget-9'!U103</f>
        <v>458260</v>
      </c>
      <c r="D39" s="328">
        <f>'PCFP-All Expense AA-1 Modif-9'!J20</f>
        <v>0</v>
      </c>
      <c r="E39" s="487"/>
      <c r="F39" s="26"/>
    </row>
    <row r="40" spans="1:6" s="3" customFormat="1" hidden="1" x14ac:dyDescent="0.2">
      <c r="A40" s="3">
        <v>2100</v>
      </c>
      <c r="B40" s="3" t="s">
        <v>151</v>
      </c>
      <c r="C40" s="328">
        <f>'19_20 District Budget-9'!U104</f>
        <v>284158.25</v>
      </c>
      <c r="D40" s="328">
        <f>'PCFP-All Expense AA-1 Modif-9'!J21</f>
        <v>357320</v>
      </c>
      <c r="E40" s="487"/>
      <c r="F40" s="26"/>
    </row>
    <row r="41" spans="1:6" s="3" customFormat="1" hidden="1" x14ac:dyDescent="0.2">
      <c r="A41" s="3">
        <v>2200</v>
      </c>
      <c r="B41" s="3" t="s">
        <v>152</v>
      </c>
      <c r="C41" s="328">
        <f>'19_20 District Budget-9'!U105</f>
        <v>1127400</v>
      </c>
      <c r="D41" s="328">
        <f>'PCFP-All Expense AA-1 Modif-9'!J22</f>
        <v>1033092</v>
      </c>
      <c r="E41" s="487"/>
      <c r="F41" s="26"/>
    </row>
    <row r="42" spans="1:6" s="3" customFormat="1" hidden="1" x14ac:dyDescent="0.2">
      <c r="A42" s="3">
        <v>2300</v>
      </c>
      <c r="B42" s="3" t="s">
        <v>153</v>
      </c>
      <c r="C42" s="328">
        <f>'19_20 District Budget-9'!U106</f>
        <v>907414</v>
      </c>
      <c r="D42" s="328">
        <f>'PCFP-All Expense AA-1 Modif-9'!J23</f>
        <v>879485</v>
      </c>
      <c r="E42" s="487"/>
      <c r="F42" s="26"/>
    </row>
    <row r="43" spans="1:6" s="3" customFormat="1" hidden="1" x14ac:dyDescent="0.2">
      <c r="A43" s="3">
        <v>2400</v>
      </c>
      <c r="B43" s="3" t="s">
        <v>154</v>
      </c>
      <c r="C43" s="328">
        <f>'19_20 District Budget-9'!U107</f>
        <v>875765</v>
      </c>
      <c r="D43" s="328">
        <f>'PCFP-All Expense AA-1 Modif-9'!J24</f>
        <v>875765</v>
      </c>
      <c r="E43" s="487"/>
      <c r="F43" s="26"/>
    </row>
    <row r="44" spans="1:6" s="3" customFormat="1" hidden="1" x14ac:dyDescent="0.2">
      <c r="A44" s="3">
        <v>2500</v>
      </c>
      <c r="B44" s="3" t="s">
        <v>155</v>
      </c>
      <c r="C44" s="328">
        <f>'19_20 District Budget-9'!U108</f>
        <v>756019</v>
      </c>
      <c r="D44" s="328">
        <f>'PCFP-All Expense AA-1 Modif-9'!J25</f>
        <v>487821</v>
      </c>
      <c r="E44" s="487"/>
      <c r="F44" s="26"/>
    </row>
    <row r="45" spans="1:6" s="3" customFormat="1" hidden="1" x14ac:dyDescent="0.2">
      <c r="A45" s="3">
        <v>2600</v>
      </c>
      <c r="B45" s="3" t="s">
        <v>156</v>
      </c>
      <c r="C45" s="328">
        <f>'19_20 District Budget-9'!U109</f>
        <v>2933655</v>
      </c>
      <c r="D45" s="328">
        <f>'PCFP-All Expense AA-1 Modif-9'!J26</f>
        <v>1631790</v>
      </c>
      <c r="E45" s="487"/>
      <c r="F45" s="26"/>
    </row>
    <row r="46" spans="1:6" s="3" customFormat="1" hidden="1" x14ac:dyDescent="0.2">
      <c r="A46" s="3">
        <v>2700</v>
      </c>
      <c r="B46" s="3" t="s">
        <v>157</v>
      </c>
      <c r="C46" s="328">
        <f>'19_20 District Budget-9'!U110</f>
        <v>640903</v>
      </c>
      <c r="D46" s="328">
        <f>'PCFP-All Expense AA-1 Modif-9'!J27</f>
        <v>403203</v>
      </c>
      <c r="E46" s="487"/>
      <c r="F46" s="26"/>
    </row>
    <row r="47" spans="1:6" s="3" customFormat="1" hidden="1" x14ac:dyDescent="0.2">
      <c r="A47" s="3">
        <v>2800</v>
      </c>
      <c r="B47" s="3" t="s">
        <v>646</v>
      </c>
      <c r="C47" s="328">
        <f>'19_20 District Budget-9'!U111</f>
        <v>42970</v>
      </c>
      <c r="D47" s="328">
        <f>'PCFP-All Expense AA-1 Modif-9'!J28</f>
        <v>0</v>
      </c>
      <c r="E47" s="487"/>
      <c r="F47" s="26"/>
    </row>
    <row r="48" spans="1:6" s="3" customFormat="1" hidden="1" x14ac:dyDescent="0.2">
      <c r="A48" s="3">
        <v>2900</v>
      </c>
      <c r="B48" s="3" t="s">
        <v>158</v>
      </c>
      <c r="C48" s="328">
        <f>'19_20 District Budget-9'!U112</f>
        <v>368794</v>
      </c>
      <c r="D48" s="328">
        <f>'PCFP-All Expense AA-1 Modif-9'!J29</f>
        <v>462213</v>
      </c>
      <c r="E48" s="487"/>
      <c r="F48" s="26"/>
    </row>
    <row r="49" spans="1:6" s="3" customFormat="1" hidden="1" x14ac:dyDescent="0.2">
      <c r="A49" s="3">
        <v>3000</v>
      </c>
      <c r="B49" s="3" t="s">
        <v>159</v>
      </c>
      <c r="C49" s="328">
        <f>'19_20 District Budget-9'!U113</f>
        <v>0</v>
      </c>
      <c r="D49" s="328">
        <f>'PCFP-All Expense AA-1 Modif-9'!J30</f>
        <v>0</v>
      </c>
      <c r="E49" s="487"/>
      <c r="F49" s="26"/>
    </row>
    <row r="50" spans="1:6" s="3" customFormat="1" hidden="1" x14ac:dyDescent="0.2">
      <c r="A50" s="3">
        <v>3100</v>
      </c>
      <c r="B50" s="3" t="s">
        <v>160</v>
      </c>
      <c r="C50" s="328">
        <f>'19_20 District Budget-9'!U114</f>
        <v>377383</v>
      </c>
      <c r="D50" s="328">
        <f>'PCFP-All Expense AA-1 Modif-9'!J31</f>
        <v>0</v>
      </c>
      <c r="E50" s="487"/>
      <c r="F50" s="26"/>
    </row>
    <row r="51" spans="1:6" s="3" customFormat="1" hidden="1" x14ac:dyDescent="0.2">
      <c r="A51" s="3">
        <v>3200</v>
      </c>
      <c r="B51" s="3" t="s">
        <v>161</v>
      </c>
      <c r="C51" s="328">
        <f>'19_20 District Budget-9'!U115</f>
        <v>0</v>
      </c>
      <c r="D51" s="328">
        <f>'PCFP-All Expense AA-1 Modif-9'!J32</f>
        <v>0</v>
      </c>
      <c r="E51" s="487"/>
      <c r="F51" s="26"/>
    </row>
    <row r="52" spans="1:6" s="3" customFormat="1" hidden="1" x14ac:dyDescent="0.2">
      <c r="A52" s="3">
        <v>3300</v>
      </c>
      <c r="B52" s="3" t="s">
        <v>162</v>
      </c>
      <c r="C52" s="328">
        <f>'19_20 District Budget-9'!U116</f>
        <v>1173</v>
      </c>
      <c r="D52" s="328">
        <f>'PCFP-All Expense AA-1 Modif-9'!J33</f>
        <v>0</v>
      </c>
      <c r="E52" s="487"/>
      <c r="F52" s="26"/>
    </row>
    <row r="53" spans="1:6" s="3" customFormat="1" hidden="1" x14ac:dyDescent="0.2">
      <c r="A53" s="3">
        <v>4000</v>
      </c>
      <c r="B53" s="3" t="s">
        <v>164</v>
      </c>
      <c r="C53" s="328">
        <f>'19_20 District Budget-9'!U117</f>
        <v>0</v>
      </c>
      <c r="D53" s="328">
        <f>'PCFP-All Expense AA-1 Modif-9'!J34</f>
        <v>0</v>
      </c>
      <c r="E53" s="487"/>
      <c r="F53" s="26"/>
    </row>
    <row r="54" spans="1:6" s="3" customFormat="1" hidden="1" x14ac:dyDescent="0.2">
      <c r="A54" s="3">
        <v>4100</v>
      </c>
      <c r="B54" s="3" t="s">
        <v>163</v>
      </c>
      <c r="C54" s="328">
        <f>'19_20 District Budget-9'!U118</f>
        <v>0</v>
      </c>
      <c r="D54" s="328">
        <f>'PCFP-All Expense AA-1 Modif-9'!J35</f>
        <v>0</v>
      </c>
      <c r="E54" s="487"/>
      <c r="F54" s="26"/>
    </row>
    <row r="55" spans="1:6" s="3" customFormat="1" hidden="1" x14ac:dyDescent="0.2">
      <c r="A55" s="3">
        <v>4200</v>
      </c>
      <c r="B55" s="3" t="s">
        <v>165</v>
      </c>
      <c r="C55" s="328">
        <f>'19_20 District Budget-9'!U119</f>
        <v>0</v>
      </c>
      <c r="D55" s="328">
        <f>'PCFP-All Expense AA-1 Modif-9'!J36</f>
        <v>0</v>
      </c>
      <c r="E55" s="487"/>
      <c r="F55" s="26"/>
    </row>
    <row r="56" spans="1:6" s="3" customFormat="1" hidden="1" x14ac:dyDescent="0.2">
      <c r="A56" s="3">
        <v>4300</v>
      </c>
      <c r="B56" s="3" t="s">
        <v>166</v>
      </c>
      <c r="C56" s="328">
        <f>'19_20 District Budget-9'!U120</f>
        <v>0</v>
      </c>
      <c r="D56" s="328">
        <f>'PCFP-All Expense AA-1 Modif-9'!J37</f>
        <v>0</v>
      </c>
      <c r="E56" s="487"/>
      <c r="F56" s="26"/>
    </row>
    <row r="57" spans="1:6" s="3" customFormat="1" hidden="1" x14ac:dyDescent="0.2">
      <c r="A57" s="3">
        <v>4400</v>
      </c>
      <c r="B57" s="3" t="s">
        <v>167</v>
      </c>
      <c r="C57" s="328">
        <f>'19_20 District Budget-9'!U121</f>
        <v>0</v>
      </c>
      <c r="D57" s="328">
        <f>'PCFP-All Expense AA-1 Modif-9'!J38</f>
        <v>0</v>
      </c>
      <c r="E57" s="487"/>
      <c r="F57" s="26"/>
    </row>
    <row r="58" spans="1:6" s="3" customFormat="1" hidden="1" x14ac:dyDescent="0.2">
      <c r="A58" s="3">
        <v>4500</v>
      </c>
      <c r="B58" s="3" t="s">
        <v>168</v>
      </c>
      <c r="C58" s="328">
        <f>'19_20 District Budget-9'!U122</f>
        <v>100000</v>
      </c>
      <c r="D58" s="328">
        <f>'PCFP-All Expense AA-1 Modif-9'!J39</f>
        <v>0</v>
      </c>
      <c r="E58" s="487"/>
      <c r="F58" s="26"/>
    </row>
    <row r="59" spans="1:6" s="3" customFormat="1" hidden="1" x14ac:dyDescent="0.2">
      <c r="A59" s="3">
        <v>4600</v>
      </c>
      <c r="B59" s="3" t="s">
        <v>169</v>
      </c>
      <c r="C59" s="328">
        <f>'19_20 District Budget-9'!U123</f>
        <v>107645</v>
      </c>
      <c r="D59" s="328">
        <f>'PCFP-All Expense AA-1 Modif-9'!J40</f>
        <v>0</v>
      </c>
      <c r="E59" s="487"/>
      <c r="F59" s="26"/>
    </row>
    <row r="60" spans="1:6" s="3" customFormat="1" hidden="1" x14ac:dyDescent="0.2">
      <c r="A60" s="3">
        <v>4700</v>
      </c>
      <c r="B60" s="3" t="s">
        <v>170</v>
      </c>
      <c r="C60" s="328">
        <f>'19_20 District Budget-9'!U124</f>
        <v>1655983.25</v>
      </c>
      <c r="D60" s="328">
        <f>'PCFP-All Expense AA-1 Modif-9'!J41</f>
        <v>0</v>
      </c>
      <c r="E60" s="487"/>
      <c r="F60" s="26"/>
    </row>
    <row r="61" spans="1:6" s="3" customFormat="1" hidden="1" x14ac:dyDescent="0.2">
      <c r="A61" s="3">
        <v>4900</v>
      </c>
      <c r="B61" s="3" t="s">
        <v>171</v>
      </c>
      <c r="C61" s="328">
        <f>'19_20 District Budget-9'!U125</f>
        <v>0</v>
      </c>
      <c r="D61" s="328">
        <f>'PCFP-All Expense AA-1 Modif-9'!J42</f>
        <v>0</v>
      </c>
      <c r="E61" s="487"/>
      <c r="F61" s="26"/>
    </row>
    <row r="62" spans="1:6" s="3" customFormat="1" hidden="1" x14ac:dyDescent="0.2">
      <c r="A62" s="3">
        <v>5000</v>
      </c>
      <c r="B62" s="3" t="s">
        <v>172</v>
      </c>
      <c r="C62" s="328">
        <f>'19_20 District Budget-9'!U126</f>
        <v>228092</v>
      </c>
      <c r="D62" s="328">
        <f>'PCFP-All Expense AA-1 Modif-9'!J43</f>
        <v>0</v>
      </c>
      <c r="E62" s="487"/>
      <c r="F62" s="26"/>
    </row>
    <row r="63" spans="1:6" s="3" customFormat="1" hidden="1" x14ac:dyDescent="0.2">
      <c r="A63" s="3">
        <v>5000</v>
      </c>
      <c r="B63" s="3" t="s">
        <v>173</v>
      </c>
      <c r="C63" s="328">
        <f>'19_20 District Budget-9'!U127</f>
        <v>-228087</v>
      </c>
      <c r="D63" s="328">
        <f>'PCFP-All Expense AA-1 Modif-9'!J44</f>
        <v>0</v>
      </c>
      <c r="E63" s="487"/>
      <c r="F63" s="26"/>
    </row>
    <row r="64" spans="1:6" s="3" customFormat="1" hidden="1" x14ac:dyDescent="0.2">
      <c r="A64" s="3">
        <v>6100</v>
      </c>
      <c r="B64" s="3" t="s">
        <v>174</v>
      </c>
      <c r="C64" s="328">
        <f>'19_20 District Budget-9'!U128</f>
        <v>0</v>
      </c>
      <c r="D64" s="328">
        <f>'PCFP-All Expense AA-1 Modif-9'!J45</f>
        <v>0</v>
      </c>
      <c r="E64" s="487"/>
      <c r="F64" s="26"/>
    </row>
    <row r="65" spans="1:6" s="3" customFormat="1" hidden="1" x14ac:dyDescent="0.2">
      <c r="A65" s="3">
        <v>6200</v>
      </c>
      <c r="B65" s="3" t="s">
        <v>175</v>
      </c>
      <c r="C65" s="328">
        <f>'19_20 District Budget-9'!U129</f>
        <v>2185081</v>
      </c>
      <c r="D65" s="328">
        <f>'PCFP-All Expense AA-1 Modif-9'!J46</f>
        <v>2163639</v>
      </c>
      <c r="E65" s="487"/>
      <c r="F65" s="26"/>
    </row>
    <row r="66" spans="1:6" s="3" customFormat="1" hidden="1" x14ac:dyDescent="0.2">
      <c r="A66" s="3">
        <v>6300</v>
      </c>
      <c r="B66" s="3" t="s">
        <v>176</v>
      </c>
      <c r="C66" s="328">
        <f>'19_20 District Budget-9'!U130</f>
        <v>300000</v>
      </c>
      <c r="D66" s="328">
        <f>'PCFP-All Expense AA-1 Modif-9'!J47</f>
        <v>300000</v>
      </c>
      <c r="E66" s="487"/>
      <c r="F66" s="26"/>
    </row>
    <row r="67" spans="1:6" s="3" customFormat="1" hidden="1" x14ac:dyDescent="0.2">
      <c r="A67" s="3">
        <v>8000</v>
      </c>
      <c r="B67" s="3" t="s">
        <v>177</v>
      </c>
      <c r="C67" s="328">
        <f>'19_20 District Budget-9'!U131</f>
        <v>17477749.5</v>
      </c>
      <c r="D67" s="328">
        <f>'PCFP-All Expense AA-1 Modif-9'!J48</f>
        <v>448602</v>
      </c>
      <c r="E67" s="487"/>
      <c r="F67" s="26"/>
    </row>
    <row r="68" spans="1:6" s="3" customFormat="1" hidden="1" x14ac:dyDescent="0.2">
      <c r="B68" s="3" t="s">
        <v>445</v>
      </c>
      <c r="C68" s="328">
        <v>0</v>
      </c>
      <c r="D68" s="328">
        <f>'PCFP-All Expense AA-1 Modif-9'!J49</f>
        <v>0</v>
      </c>
      <c r="E68" s="487"/>
      <c r="F68" s="26"/>
    </row>
    <row r="69" spans="1:6" s="3" customFormat="1" hidden="1" x14ac:dyDescent="0.2">
      <c r="B69" s="3" t="s">
        <v>446</v>
      </c>
      <c r="C69" s="328">
        <v>0</v>
      </c>
      <c r="D69" s="328">
        <f>'PCFP-All Expense AA-1 Modif-9'!J50</f>
        <v>8834921</v>
      </c>
      <c r="E69" s="487"/>
      <c r="F69" s="26"/>
    </row>
    <row r="70" spans="1:6" s="3" customFormat="1" hidden="1" x14ac:dyDescent="0.2">
      <c r="B70" s="3" t="s">
        <v>255</v>
      </c>
      <c r="C70" s="328">
        <v>0</v>
      </c>
      <c r="D70" s="328">
        <f>'PCFP-All Expense AA-1 Modif-9'!J51</f>
        <v>0</v>
      </c>
      <c r="E70" s="487"/>
      <c r="F70" s="26"/>
    </row>
    <row r="71" spans="1:6" s="3" customFormat="1" x14ac:dyDescent="0.2">
      <c r="C71" s="328"/>
      <c r="D71" s="328"/>
      <c r="E71" s="487"/>
      <c r="F71" s="26"/>
    </row>
    <row r="72" spans="1:6" s="3" customFormat="1" x14ac:dyDescent="0.2">
      <c r="B72" s="3" t="str">
        <f>'PCFP-All Expense AA-1 Modif-9'!A53</f>
        <v>DEBT SERVICE</v>
      </c>
      <c r="C72" s="328">
        <v>0</v>
      </c>
      <c r="D72" s="328">
        <f>'PCFP-All Expense AA-1 Modif-9'!J53</f>
        <v>456182</v>
      </c>
      <c r="E72" s="487"/>
      <c r="F72" s="26"/>
    </row>
    <row r="73" spans="1:6" x14ac:dyDescent="0.2">
      <c r="C73" s="43"/>
      <c r="D73" s="43"/>
      <c r="E73" s="487"/>
      <c r="F73" s="26"/>
    </row>
    <row r="74" spans="1:6" s="2" customFormat="1" x14ac:dyDescent="0.2">
      <c r="A74" s="53"/>
      <c r="B74" s="2" t="s">
        <v>308</v>
      </c>
      <c r="C74" s="40">
        <f>SUM(C75:C163)</f>
        <v>-115152</v>
      </c>
      <c r="D74" s="40">
        <f>SUM(D75:D163)</f>
        <v>14634933.43</v>
      </c>
      <c r="E74" s="487"/>
      <c r="F74" s="26"/>
    </row>
    <row r="75" spans="1:6" hidden="1" x14ac:dyDescent="0.2">
      <c r="B75" t="s">
        <v>179</v>
      </c>
      <c r="C75" s="43">
        <f>'19_20 District Budget-9'!U134</f>
        <v>0</v>
      </c>
      <c r="D75" s="43">
        <f>'PCFP-All Expense AA-1 Modif-9'!J57</f>
        <v>0</v>
      </c>
      <c r="E75" s="487">
        <f t="shared" ref="E75:E137" si="1">D75-C75</f>
        <v>0</v>
      </c>
      <c r="F75" s="26"/>
    </row>
    <row r="76" spans="1:6" hidden="1" x14ac:dyDescent="0.2">
      <c r="B76" t="s">
        <v>145</v>
      </c>
      <c r="C76" s="43">
        <f>'19_20 District Budget-9'!U135</f>
        <v>0</v>
      </c>
      <c r="D76" s="43">
        <f>'PCFP-All Expense AA-1 Modif-9'!J58</f>
        <v>64486.759999999995</v>
      </c>
      <c r="E76" s="487"/>
      <c r="F76" s="26"/>
    </row>
    <row r="77" spans="1:6" hidden="1" x14ac:dyDescent="0.2">
      <c r="B77" t="s">
        <v>180</v>
      </c>
      <c r="C77" s="43">
        <f>'19_20 District Budget-9'!U136</f>
        <v>0</v>
      </c>
      <c r="D77" s="43">
        <f>'PCFP-All Expense AA-1 Modif-9'!J59</f>
        <v>0</v>
      </c>
      <c r="E77" s="487">
        <f t="shared" si="1"/>
        <v>0</v>
      </c>
      <c r="F77" s="26"/>
    </row>
    <row r="78" spans="1:6" hidden="1" x14ac:dyDescent="0.2">
      <c r="B78" t="s">
        <v>181</v>
      </c>
      <c r="C78" s="43">
        <f>'19_20 District Budget-9'!U137</f>
        <v>0</v>
      </c>
      <c r="D78" s="43">
        <f>'PCFP-All Expense AA-1 Modif-9'!J60</f>
        <v>0</v>
      </c>
      <c r="E78" s="487">
        <f t="shared" si="1"/>
        <v>0</v>
      </c>
      <c r="F78" s="26"/>
    </row>
    <row r="79" spans="1:6" hidden="1" x14ac:dyDescent="0.2">
      <c r="B79" t="s">
        <v>182</v>
      </c>
      <c r="C79" s="43">
        <f>'19_20 District Budget-9'!U138</f>
        <v>0</v>
      </c>
      <c r="D79" s="43">
        <f>'PCFP-All Expense AA-1 Modif-9'!J61</f>
        <v>0</v>
      </c>
      <c r="E79" s="487">
        <f t="shared" si="1"/>
        <v>0</v>
      </c>
      <c r="F79" s="26"/>
    </row>
    <row r="80" spans="1:6" hidden="1" x14ac:dyDescent="0.2">
      <c r="B80" t="s">
        <v>183</v>
      </c>
      <c r="C80" s="43">
        <f>'19_20 District Budget-9'!U139</f>
        <v>0</v>
      </c>
      <c r="D80" s="43">
        <f>'PCFP-All Expense AA-1 Modif-9'!J62</f>
        <v>0</v>
      </c>
      <c r="E80" s="487">
        <f t="shared" si="1"/>
        <v>0</v>
      </c>
      <c r="F80" s="26"/>
    </row>
    <row r="81" spans="2:6" hidden="1" x14ac:dyDescent="0.2">
      <c r="B81" t="s">
        <v>184</v>
      </c>
      <c r="C81" s="43">
        <f>'19_20 District Budget-9'!U140</f>
        <v>0</v>
      </c>
      <c r="D81" s="43">
        <f>'PCFP-All Expense AA-1 Modif-9'!J63</f>
        <v>713682</v>
      </c>
      <c r="E81" s="487"/>
      <c r="F81" s="26"/>
    </row>
    <row r="82" spans="2:6" hidden="1" x14ac:dyDescent="0.2">
      <c r="B82" t="s">
        <v>185</v>
      </c>
      <c r="C82" s="43">
        <f>'19_20 District Budget-9'!U141</f>
        <v>-312700</v>
      </c>
      <c r="D82" s="43">
        <f>'PCFP-All Expense AA-1 Modif-9'!J64</f>
        <v>1522708</v>
      </c>
      <c r="E82" s="487"/>
      <c r="F82" s="26"/>
    </row>
    <row r="83" spans="2:6" hidden="1" x14ac:dyDescent="0.2">
      <c r="B83" t="s">
        <v>186</v>
      </c>
      <c r="C83" s="43">
        <f>'19_20 District Budget-9'!U142</f>
        <v>0</v>
      </c>
      <c r="D83" s="43">
        <f>'PCFP-All Expense AA-1 Modif-9'!J65</f>
        <v>0</v>
      </c>
      <c r="E83" s="487">
        <f t="shared" si="1"/>
        <v>0</v>
      </c>
      <c r="F83" s="26"/>
    </row>
    <row r="84" spans="2:6" hidden="1" x14ac:dyDescent="0.2">
      <c r="B84" t="s">
        <v>187</v>
      </c>
      <c r="C84" s="43">
        <f>'19_20 District Budget-9'!U143</f>
        <v>0</v>
      </c>
      <c r="D84" s="43">
        <f>'PCFP-All Expense AA-1 Modif-9'!J66</f>
        <v>5191781</v>
      </c>
      <c r="E84" s="487"/>
      <c r="F84" s="26"/>
    </row>
    <row r="85" spans="2:6" hidden="1" x14ac:dyDescent="0.2">
      <c r="B85" t="s">
        <v>188</v>
      </c>
      <c r="C85" s="43">
        <f>'19_20 District Budget-9'!U144</f>
        <v>-974400</v>
      </c>
      <c r="D85" s="43">
        <f>'PCFP-All Expense AA-1 Modif-9'!J67</f>
        <v>0</v>
      </c>
      <c r="E85" s="487"/>
      <c r="F85" s="26"/>
    </row>
    <row r="86" spans="2:6" hidden="1" x14ac:dyDescent="0.2">
      <c r="B86" t="s">
        <v>189</v>
      </c>
      <c r="C86" s="43">
        <f>'19_20 District Budget-9'!U145</f>
        <v>0</v>
      </c>
      <c r="D86" s="43">
        <f>'PCFP-All Expense AA-1 Modif-9'!J68</f>
        <v>0</v>
      </c>
      <c r="E86" s="487">
        <f t="shared" si="1"/>
        <v>0</v>
      </c>
      <c r="F86" s="26"/>
    </row>
    <row r="87" spans="2:6" hidden="1" x14ac:dyDescent="0.2">
      <c r="B87" t="s">
        <v>190</v>
      </c>
      <c r="C87" s="43">
        <f>'19_20 District Budget-9'!U146</f>
        <v>0</v>
      </c>
      <c r="D87" s="43">
        <f>'PCFP-All Expense AA-1 Modif-9'!J69</f>
        <v>0</v>
      </c>
      <c r="E87" s="487">
        <f t="shared" si="1"/>
        <v>0</v>
      </c>
      <c r="F87" s="26"/>
    </row>
    <row r="88" spans="2:6" hidden="1" x14ac:dyDescent="0.2">
      <c r="B88" t="s">
        <v>191</v>
      </c>
      <c r="C88" s="43">
        <f>'19_20 District Budget-9'!U147</f>
        <v>0</v>
      </c>
      <c r="D88" s="43">
        <f>'PCFP-All Expense AA-1 Modif-9'!J70</f>
        <v>161731</v>
      </c>
      <c r="E88" s="487"/>
      <c r="F88" s="26"/>
    </row>
    <row r="89" spans="2:6" hidden="1" x14ac:dyDescent="0.2">
      <c r="B89" t="s">
        <v>192</v>
      </c>
      <c r="C89" s="43">
        <f>'19_20 District Budget-9'!U148</f>
        <v>0</v>
      </c>
      <c r="D89" s="43">
        <f>'PCFP-All Expense AA-1 Modif-9'!J71</f>
        <v>0</v>
      </c>
      <c r="E89" s="487">
        <f t="shared" si="1"/>
        <v>0</v>
      </c>
      <c r="F89" s="26"/>
    </row>
    <row r="90" spans="2:6" hidden="1" x14ac:dyDescent="0.2">
      <c r="B90" t="s">
        <v>193</v>
      </c>
      <c r="C90" s="43">
        <f>'19_20 District Budget-9'!U149</f>
        <v>0</v>
      </c>
      <c r="D90" s="43">
        <f>'PCFP-All Expense AA-1 Modif-9'!J72</f>
        <v>0</v>
      </c>
      <c r="E90" s="487">
        <f t="shared" si="1"/>
        <v>0</v>
      </c>
      <c r="F90" s="26"/>
    </row>
    <row r="91" spans="2:6" hidden="1" x14ac:dyDescent="0.2">
      <c r="B91" t="s">
        <v>194</v>
      </c>
      <c r="C91" s="43">
        <f>'19_20 District Budget-9'!U150</f>
        <v>0</v>
      </c>
      <c r="D91" s="43">
        <f>'PCFP-All Expense AA-1 Modif-9'!J73</f>
        <v>0</v>
      </c>
      <c r="E91" s="487">
        <f t="shared" si="1"/>
        <v>0</v>
      </c>
      <c r="F91" s="26"/>
    </row>
    <row r="92" spans="2:6" hidden="1" x14ac:dyDescent="0.2">
      <c r="B92" t="s">
        <v>195</v>
      </c>
      <c r="C92" s="43">
        <f>'19_20 District Budget-9'!U151</f>
        <v>0</v>
      </c>
      <c r="D92" s="43">
        <f>'PCFP-All Expense AA-1 Modif-9'!J74</f>
        <v>0</v>
      </c>
      <c r="E92" s="487">
        <f t="shared" si="1"/>
        <v>0</v>
      </c>
      <c r="F92" s="26"/>
    </row>
    <row r="93" spans="2:6" hidden="1" x14ac:dyDescent="0.2">
      <c r="B93" t="s">
        <v>196</v>
      </c>
      <c r="C93" s="43">
        <f>'19_20 District Budget-9'!U152</f>
        <v>0</v>
      </c>
      <c r="D93" s="43">
        <f>'PCFP-All Expense AA-1 Modif-9'!J75</f>
        <v>0</v>
      </c>
      <c r="E93" s="487">
        <f t="shared" si="1"/>
        <v>0</v>
      </c>
      <c r="F93" s="26"/>
    </row>
    <row r="94" spans="2:6" hidden="1" x14ac:dyDescent="0.2">
      <c r="B94" t="s">
        <v>197</v>
      </c>
      <c r="C94" s="43">
        <f>'19_20 District Budget-9'!U153</f>
        <v>0</v>
      </c>
      <c r="D94" s="43">
        <f>'PCFP-All Expense AA-1 Modif-9'!J76</f>
        <v>0</v>
      </c>
      <c r="E94" s="487">
        <f t="shared" si="1"/>
        <v>0</v>
      </c>
      <c r="F94" s="26"/>
    </row>
    <row r="95" spans="2:6" hidden="1" x14ac:dyDescent="0.2">
      <c r="B95" t="s">
        <v>198</v>
      </c>
      <c r="C95" s="43">
        <f>'19_20 District Budget-9'!U154</f>
        <v>0</v>
      </c>
      <c r="D95" s="43">
        <f>'PCFP-All Expense AA-1 Modif-9'!J77</f>
        <v>0</v>
      </c>
      <c r="E95" s="487">
        <f t="shared" si="1"/>
        <v>0</v>
      </c>
      <c r="F95" s="26"/>
    </row>
    <row r="96" spans="2:6" hidden="1" x14ac:dyDescent="0.2">
      <c r="B96" t="s">
        <v>199</v>
      </c>
      <c r="C96" s="43">
        <f>'19_20 District Budget-9'!U155</f>
        <v>0</v>
      </c>
      <c r="D96" s="43">
        <f>'PCFP-All Expense AA-1 Modif-9'!J78</f>
        <v>0</v>
      </c>
      <c r="E96" s="487">
        <f t="shared" si="1"/>
        <v>0</v>
      </c>
      <c r="F96" s="26"/>
    </row>
    <row r="97" spans="2:6" hidden="1" x14ac:dyDescent="0.2">
      <c r="B97" t="s">
        <v>200</v>
      </c>
      <c r="C97" s="43">
        <f>'19_20 District Budget-9'!U156</f>
        <v>0</v>
      </c>
      <c r="D97" s="43">
        <f>'PCFP-All Expense AA-1 Modif-9'!J79</f>
        <v>0</v>
      </c>
      <c r="E97" s="487">
        <f t="shared" si="1"/>
        <v>0</v>
      </c>
      <c r="F97" s="26"/>
    </row>
    <row r="98" spans="2:6" hidden="1" x14ac:dyDescent="0.2">
      <c r="B98" t="s">
        <v>201</v>
      </c>
      <c r="C98" s="43">
        <f>'19_20 District Budget-9'!U157</f>
        <v>0</v>
      </c>
      <c r="D98" s="43">
        <f>'PCFP-All Expense AA-1 Modif-9'!J80</f>
        <v>0</v>
      </c>
      <c r="E98" s="487">
        <f t="shared" si="1"/>
        <v>0</v>
      </c>
      <c r="F98" s="26"/>
    </row>
    <row r="99" spans="2:6" hidden="1" x14ac:dyDescent="0.2">
      <c r="B99" t="s">
        <v>202</v>
      </c>
      <c r="C99" s="43">
        <f>'19_20 District Budget-9'!U158</f>
        <v>0</v>
      </c>
      <c r="D99" s="43">
        <f>'PCFP-All Expense AA-1 Modif-9'!J81</f>
        <v>0</v>
      </c>
      <c r="E99" s="487">
        <f t="shared" si="1"/>
        <v>0</v>
      </c>
      <c r="F99" s="26"/>
    </row>
    <row r="100" spans="2:6" hidden="1" x14ac:dyDescent="0.2">
      <c r="B100" t="s">
        <v>203</v>
      </c>
      <c r="C100" s="43">
        <f>'19_20 District Budget-9'!U159</f>
        <v>0</v>
      </c>
      <c r="D100" s="43">
        <f>'PCFP-All Expense AA-1 Modif-9'!J82</f>
        <v>1441936</v>
      </c>
      <c r="E100" s="487"/>
      <c r="F100" s="26"/>
    </row>
    <row r="101" spans="2:6" hidden="1" x14ac:dyDescent="0.2">
      <c r="B101" t="s">
        <v>204</v>
      </c>
      <c r="C101" s="43">
        <f>'19_20 District Budget-9'!U160</f>
        <v>0</v>
      </c>
      <c r="D101" s="43">
        <f>'PCFP-All Expense AA-1 Modif-9'!J83</f>
        <v>483133</v>
      </c>
      <c r="E101" s="487"/>
      <c r="F101" s="26"/>
    </row>
    <row r="102" spans="2:6" hidden="1" x14ac:dyDescent="0.2">
      <c r="B102" t="s">
        <v>205</v>
      </c>
      <c r="C102" s="43">
        <f>'19_20 District Budget-9'!U161</f>
        <v>0</v>
      </c>
      <c r="D102" s="43">
        <f>'PCFP-All Expense AA-1 Modif-9'!J84</f>
        <v>0</v>
      </c>
      <c r="E102" s="487">
        <f t="shared" si="1"/>
        <v>0</v>
      </c>
      <c r="F102" s="26"/>
    </row>
    <row r="103" spans="2:6" hidden="1" x14ac:dyDescent="0.2">
      <c r="B103" t="s">
        <v>206</v>
      </c>
      <c r="C103" s="43">
        <f>'19_20 District Budget-9'!U162</f>
        <v>-100000</v>
      </c>
      <c r="D103" s="43">
        <f>'PCFP-All Expense AA-1 Modif-9'!J85</f>
        <v>0</v>
      </c>
      <c r="E103" s="487"/>
      <c r="F103" s="26"/>
    </row>
    <row r="104" spans="2:6" hidden="1" x14ac:dyDescent="0.2">
      <c r="B104" t="s">
        <v>207</v>
      </c>
      <c r="C104" s="43">
        <f>'19_20 District Budget-9'!U163</f>
        <v>0</v>
      </c>
      <c r="D104" s="43">
        <f>'PCFP-All Expense AA-1 Modif-9'!J86</f>
        <v>2524</v>
      </c>
      <c r="E104" s="487"/>
      <c r="F104" s="26"/>
    </row>
    <row r="105" spans="2:6" hidden="1" x14ac:dyDescent="0.2">
      <c r="B105" t="s">
        <v>208</v>
      </c>
      <c r="C105" s="43">
        <f>'19_20 District Budget-9'!U164</f>
        <v>0</v>
      </c>
      <c r="D105" s="43">
        <f>'PCFP-All Expense AA-1 Modif-9'!J87</f>
        <v>0</v>
      </c>
      <c r="E105" s="487">
        <f t="shared" si="1"/>
        <v>0</v>
      </c>
      <c r="F105" s="26"/>
    </row>
    <row r="106" spans="2:6" hidden="1" x14ac:dyDescent="0.2">
      <c r="B106" t="s">
        <v>647</v>
      </c>
      <c r="C106" s="43">
        <f>'19_20 District Budget-9'!U165</f>
        <v>1820400</v>
      </c>
      <c r="D106" s="43">
        <f>'PCFP-All Expense AA-1 Modif-9'!J88</f>
        <v>0</v>
      </c>
      <c r="E106" s="487"/>
      <c r="F106" s="26"/>
    </row>
    <row r="107" spans="2:6" hidden="1" x14ac:dyDescent="0.2">
      <c r="B107" t="s">
        <v>210</v>
      </c>
      <c r="C107" s="43">
        <f>'19_20 District Budget-9'!U166</f>
        <v>0</v>
      </c>
      <c r="D107" s="43">
        <f>'PCFP-All Expense AA-1 Modif-9'!J89</f>
        <v>0</v>
      </c>
      <c r="E107" s="487">
        <f t="shared" si="1"/>
        <v>0</v>
      </c>
      <c r="F107" s="26"/>
    </row>
    <row r="108" spans="2:6" hidden="1" x14ac:dyDescent="0.2">
      <c r="B108" t="s">
        <v>211</v>
      </c>
      <c r="C108" s="43">
        <f>'19_20 District Budget-9'!U167</f>
        <v>0</v>
      </c>
      <c r="D108" s="43">
        <f>'PCFP-All Expense AA-1 Modif-9'!J90</f>
        <v>542263</v>
      </c>
      <c r="E108" s="487"/>
      <c r="F108" s="26"/>
    </row>
    <row r="109" spans="2:6" hidden="1" x14ac:dyDescent="0.2">
      <c r="B109" t="s">
        <v>212</v>
      </c>
      <c r="C109" s="43">
        <f>'19_20 District Budget-9'!U168</f>
        <v>0</v>
      </c>
      <c r="D109" s="43">
        <f>'PCFP-All Expense AA-1 Modif-9'!J91</f>
        <v>0</v>
      </c>
      <c r="E109" s="487">
        <f t="shared" si="1"/>
        <v>0</v>
      </c>
      <c r="F109" s="26"/>
    </row>
    <row r="110" spans="2:6" hidden="1" x14ac:dyDescent="0.2">
      <c r="B110" t="s">
        <v>213</v>
      </c>
      <c r="C110" s="43">
        <f>'19_20 District Budget-9'!U169</f>
        <v>0</v>
      </c>
      <c r="D110" s="43">
        <f>'PCFP-All Expense AA-1 Modif-9'!J92</f>
        <v>918084</v>
      </c>
      <c r="E110" s="487"/>
      <c r="F110" s="26"/>
    </row>
    <row r="111" spans="2:6" hidden="1" x14ac:dyDescent="0.2">
      <c r="B111" t="s">
        <v>214</v>
      </c>
      <c r="C111" s="43">
        <f>'19_20 District Budget-9'!U170</f>
        <v>0</v>
      </c>
      <c r="D111" s="43">
        <f>'PCFP-All Expense AA-1 Modif-9'!J93</f>
        <v>0</v>
      </c>
      <c r="E111" s="487">
        <f t="shared" si="1"/>
        <v>0</v>
      </c>
      <c r="F111" s="26"/>
    </row>
    <row r="112" spans="2:6" hidden="1" x14ac:dyDescent="0.2">
      <c r="B112" t="s">
        <v>215</v>
      </c>
      <c r="C112" s="43">
        <f>'19_20 District Budget-9'!U171</f>
        <v>0</v>
      </c>
      <c r="D112" s="43">
        <f>'PCFP-All Expense AA-1 Modif-9'!J94</f>
        <v>0</v>
      </c>
      <c r="E112" s="487">
        <f t="shared" si="1"/>
        <v>0</v>
      </c>
      <c r="F112" s="26"/>
    </row>
    <row r="113" spans="1:6" hidden="1" x14ac:dyDescent="0.2">
      <c r="B113" t="s">
        <v>216</v>
      </c>
      <c r="C113" s="43">
        <f>'19_20 District Budget-9'!U172</f>
        <v>0</v>
      </c>
      <c r="D113" s="43">
        <f>'PCFP-All Expense AA-1 Modif-9'!J95</f>
        <v>0</v>
      </c>
      <c r="E113" s="487">
        <f t="shared" si="1"/>
        <v>0</v>
      </c>
      <c r="F113" s="26"/>
    </row>
    <row r="114" spans="1:6" hidden="1" x14ac:dyDescent="0.2">
      <c r="B114" t="s">
        <v>217</v>
      </c>
      <c r="C114" s="43">
        <f>'19_20 District Budget-9'!U173</f>
        <v>0</v>
      </c>
      <c r="D114" s="43">
        <f>'PCFP-All Expense AA-1 Modif-9'!J96</f>
        <v>0</v>
      </c>
      <c r="E114" s="487">
        <f t="shared" si="1"/>
        <v>0</v>
      </c>
      <c r="F114" s="26"/>
    </row>
    <row r="115" spans="1:6" hidden="1" x14ac:dyDescent="0.2">
      <c r="B115" t="s">
        <v>218</v>
      </c>
      <c r="C115" s="43">
        <f>'19_20 District Budget-9'!U174</f>
        <v>0</v>
      </c>
      <c r="D115" s="43">
        <f>'PCFP-All Expense AA-1 Modif-9'!J97</f>
        <v>0</v>
      </c>
      <c r="E115" s="487">
        <f t="shared" si="1"/>
        <v>0</v>
      </c>
      <c r="F115" s="26"/>
    </row>
    <row r="116" spans="1:6" hidden="1" x14ac:dyDescent="0.2">
      <c r="B116" t="s">
        <v>219</v>
      </c>
      <c r="C116" s="43">
        <f>'19_20 District Budget-9'!U175</f>
        <v>0</v>
      </c>
      <c r="D116" s="43">
        <f>'PCFP-All Expense AA-1 Modif-9'!J98</f>
        <v>58800</v>
      </c>
      <c r="E116" s="487"/>
      <c r="F116" s="26"/>
    </row>
    <row r="117" spans="1:6" hidden="1" x14ac:dyDescent="0.2">
      <c r="B117" t="s">
        <v>220</v>
      </c>
      <c r="C117" s="43">
        <f>'19_20 District Budget-9'!U176</f>
        <v>0</v>
      </c>
      <c r="D117" s="43">
        <f>'PCFP-All Expense AA-1 Modif-9'!J99</f>
        <v>0</v>
      </c>
      <c r="E117" s="487">
        <f t="shared" si="1"/>
        <v>0</v>
      </c>
      <c r="F117" s="26"/>
    </row>
    <row r="118" spans="1:6" hidden="1" x14ac:dyDescent="0.2">
      <c r="B118" t="s">
        <v>221</v>
      </c>
      <c r="C118" s="43">
        <f>'19_20 District Budget-9'!U177</f>
        <v>0</v>
      </c>
      <c r="D118" s="43">
        <f>'PCFP-All Expense AA-1 Modif-9'!J100</f>
        <v>253177</v>
      </c>
      <c r="E118" s="487"/>
      <c r="F118" s="26"/>
    </row>
    <row r="119" spans="1:6" hidden="1" x14ac:dyDescent="0.2">
      <c r="A119" s="2" t="s">
        <v>10</v>
      </c>
      <c r="B119" t="s">
        <v>142</v>
      </c>
      <c r="C119" s="43">
        <f>'19_20 District Budget-9'!U178</f>
        <v>0</v>
      </c>
      <c r="D119" s="43">
        <f>'PCFP-All Expense AA-1 Modif-9'!J101</f>
        <v>0</v>
      </c>
      <c r="E119" s="487">
        <f t="shared" si="1"/>
        <v>0</v>
      </c>
      <c r="F119" s="26"/>
    </row>
    <row r="120" spans="1:6" hidden="1" x14ac:dyDescent="0.2">
      <c r="A120" s="2" t="s">
        <v>10</v>
      </c>
      <c r="B120" t="s">
        <v>141</v>
      </c>
      <c r="C120" s="43">
        <f>'19_20 District Budget-9'!U179</f>
        <v>0</v>
      </c>
      <c r="D120" s="43">
        <f>'PCFP-All Expense AA-1 Modif-9'!J102</f>
        <v>0</v>
      </c>
      <c r="E120" s="487">
        <f t="shared" si="1"/>
        <v>0</v>
      </c>
      <c r="F120" s="26"/>
    </row>
    <row r="121" spans="1:6" hidden="1" x14ac:dyDescent="0.2">
      <c r="A121" s="2" t="s">
        <v>33</v>
      </c>
      <c r="B121" t="s">
        <v>222</v>
      </c>
      <c r="C121" s="43">
        <f>'19_20 District Budget-9'!U180</f>
        <v>0</v>
      </c>
      <c r="D121" s="43">
        <f>'PCFP-All Expense AA-1 Modif-9'!J103</f>
        <v>0</v>
      </c>
      <c r="E121" s="487">
        <f t="shared" si="1"/>
        <v>0</v>
      </c>
      <c r="F121" s="26"/>
    </row>
    <row r="122" spans="1:6" hidden="1" x14ac:dyDescent="0.2">
      <c r="A122" s="2" t="s">
        <v>10</v>
      </c>
      <c r="B122" t="s">
        <v>138</v>
      </c>
      <c r="C122" s="43">
        <f>'19_20 District Budget-9'!U181</f>
        <v>0</v>
      </c>
      <c r="D122" s="43">
        <f>'PCFP-All Expense AA-1 Modif-9'!J104</f>
        <v>0</v>
      </c>
      <c r="E122" s="487">
        <f t="shared" si="1"/>
        <v>0</v>
      </c>
      <c r="F122" s="26"/>
    </row>
    <row r="123" spans="1:6" hidden="1" x14ac:dyDescent="0.2">
      <c r="A123" s="2" t="s">
        <v>10</v>
      </c>
      <c r="B123" t="s">
        <v>136</v>
      </c>
      <c r="C123" s="43">
        <f>'19_20 District Budget-9'!U182</f>
        <v>0</v>
      </c>
      <c r="D123" s="43">
        <f>'PCFP-All Expense AA-1 Modif-9'!J105</f>
        <v>0</v>
      </c>
      <c r="E123" s="487">
        <f t="shared" si="1"/>
        <v>0</v>
      </c>
      <c r="F123" s="26"/>
    </row>
    <row r="124" spans="1:6" hidden="1" x14ac:dyDescent="0.2">
      <c r="B124" t="s">
        <v>223</v>
      </c>
      <c r="C124" s="43">
        <f>'19_20 District Budget-9'!U183</f>
        <v>0</v>
      </c>
      <c r="D124" s="43">
        <f>'PCFP-All Expense AA-1 Modif-9'!J106</f>
        <v>0</v>
      </c>
      <c r="E124" s="487">
        <f t="shared" si="1"/>
        <v>0</v>
      </c>
      <c r="F124" s="26"/>
    </row>
    <row r="125" spans="1:6" hidden="1" x14ac:dyDescent="0.2">
      <c r="B125" t="s">
        <v>224</v>
      </c>
      <c r="C125" s="43">
        <f>'19_20 District Budget-9'!U184</f>
        <v>0</v>
      </c>
      <c r="D125" s="43">
        <f>'PCFP-All Expense AA-1 Modif-9'!J107</f>
        <v>0</v>
      </c>
      <c r="E125" s="487">
        <f t="shared" si="1"/>
        <v>0</v>
      </c>
      <c r="F125" s="26"/>
    </row>
    <row r="126" spans="1:6" hidden="1" x14ac:dyDescent="0.2">
      <c r="B126" t="s">
        <v>225</v>
      </c>
      <c r="C126" s="43">
        <f>'19_20 District Budget-9'!U185</f>
        <v>0</v>
      </c>
      <c r="D126" s="43">
        <f>'PCFP-All Expense AA-1 Modif-9'!J108</f>
        <v>0</v>
      </c>
      <c r="E126" s="487">
        <f t="shared" si="1"/>
        <v>0</v>
      </c>
      <c r="F126" s="26"/>
    </row>
    <row r="127" spans="1:6" hidden="1" x14ac:dyDescent="0.2">
      <c r="B127" t="s">
        <v>226</v>
      </c>
      <c r="C127" s="43">
        <f>'19_20 District Budget-9'!U186</f>
        <v>0</v>
      </c>
      <c r="D127" s="43">
        <f>'PCFP-All Expense AA-1 Modif-9'!J109</f>
        <v>0</v>
      </c>
      <c r="E127" s="487">
        <f t="shared" si="1"/>
        <v>0</v>
      </c>
      <c r="F127" s="26"/>
    </row>
    <row r="128" spans="1:6" hidden="1" x14ac:dyDescent="0.2">
      <c r="B128" t="s">
        <v>227</v>
      </c>
      <c r="C128" s="43">
        <f>'19_20 District Budget-9'!U187</f>
        <v>0</v>
      </c>
      <c r="D128" s="43">
        <f>'PCFP-All Expense AA-1 Modif-9'!J110</f>
        <v>0</v>
      </c>
      <c r="E128" s="487">
        <f t="shared" si="1"/>
        <v>0</v>
      </c>
      <c r="F128" s="26"/>
    </row>
    <row r="129" spans="2:6" hidden="1" x14ac:dyDescent="0.2">
      <c r="B129" t="s">
        <v>228</v>
      </c>
      <c r="C129" s="43">
        <f>'19_20 District Budget-9'!U188</f>
        <v>0</v>
      </c>
      <c r="D129" s="43">
        <f>'PCFP-All Expense AA-1 Modif-9'!J111</f>
        <v>0</v>
      </c>
      <c r="E129" s="487">
        <f t="shared" si="1"/>
        <v>0</v>
      </c>
      <c r="F129" s="26"/>
    </row>
    <row r="130" spans="2:6" hidden="1" x14ac:dyDescent="0.2">
      <c r="B130" t="s">
        <v>229</v>
      </c>
      <c r="C130" s="43">
        <f>'19_20 District Budget-9'!U189</f>
        <v>0</v>
      </c>
      <c r="D130" s="43">
        <f>'PCFP-All Expense AA-1 Modif-9'!J112</f>
        <v>0</v>
      </c>
      <c r="E130" s="487">
        <f t="shared" si="1"/>
        <v>0</v>
      </c>
      <c r="F130" s="26"/>
    </row>
    <row r="131" spans="2:6" hidden="1" x14ac:dyDescent="0.2">
      <c r="B131" t="s">
        <v>230</v>
      </c>
      <c r="C131" s="43">
        <f>'19_20 District Budget-9'!U190</f>
        <v>0</v>
      </c>
      <c r="D131" s="43">
        <f>'PCFP-All Expense AA-1 Modif-9'!J113</f>
        <v>0</v>
      </c>
      <c r="E131" s="487">
        <f t="shared" si="1"/>
        <v>0</v>
      </c>
      <c r="F131" s="26"/>
    </row>
    <row r="132" spans="2:6" hidden="1" x14ac:dyDescent="0.2">
      <c r="B132" t="s">
        <v>231</v>
      </c>
      <c r="C132" s="43">
        <f>'19_20 District Budget-9'!U191</f>
        <v>0</v>
      </c>
      <c r="D132" s="43">
        <f>'PCFP-All Expense AA-1 Modif-9'!J114</f>
        <v>0</v>
      </c>
      <c r="E132" s="487">
        <f t="shared" si="1"/>
        <v>0</v>
      </c>
      <c r="F132" s="26"/>
    </row>
    <row r="133" spans="2:6" hidden="1" x14ac:dyDescent="0.2">
      <c r="B133" t="s">
        <v>232</v>
      </c>
      <c r="C133" s="43">
        <f>'19_20 District Budget-9'!U192</f>
        <v>0</v>
      </c>
      <c r="D133" s="43">
        <f>'PCFP-All Expense AA-1 Modif-9'!J115</f>
        <v>0</v>
      </c>
      <c r="E133" s="487">
        <f t="shared" si="1"/>
        <v>0</v>
      </c>
      <c r="F133" s="26"/>
    </row>
    <row r="134" spans="2:6" hidden="1" x14ac:dyDescent="0.2">
      <c r="B134" t="s">
        <v>233</v>
      </c>
      <c r="C134" s="43">
        <f>'19_20 District Budget-9'!U193</f>
        <v>0</v>
      </c>
      <c r="D134" s="43">
        <f>'PCFP-All Expense AA-1 Modif-9'!J116</f>
        <v>0</v>
      </c>
      <c r="E134" s="487">
        <f t="shared" si="1"/>
        <v>0</v>
      </c>
      <c r="F134" s="26"/>
    </row>
    <row r="135" spans="2:6" hidden="1" x14ac:dyDescent="0.2">
      <c r="B135" t="s">
        <v>234</v>
      </c>
      <c r="C135" s="43">
        <f>'19_20 District Budget-9'!U194</f>
        <v>0</v>
      </c>
      <c r="D135" s="43">
        <f>'PCFP-All Expense AA-1 Modif-9'!J117</f>
        <v>0</v>
      </c>
      <c r="E135" s="487">
        <f t="shared" si="1"/>
        <v>0</v>
      </c>
      <c r="F135" s="26"/>
    </row>
    <row r="136" spans="2:6" hidden="1" x14ac:dyDescent="0.2">
      <c r="B136" t="s">
        <v>9</v>
      </c>
      <c r="C136" s="43">
        <f>'19_20 District Budget-9'!U195</f>
        <v>-527010</v>
      </c>
      <c r="D136" s="43">
        <f>'PCFP-All Expense AA-1 Modif-9'!J118</f>
        <v>1308651</v>
      </c>
      <c r="E136" s="487"/>
      <c r="F136" s="26"/>
    </row>
    <row r="137" spans="2:6" hidden="1" x14ac:dyDescent="0.2">
      <c r="B137" s="3" t="s">
        <v>235</v>
      </c>
      <c r="C137" s="43">
        <f>'19_20 District Budget-9'!U197</f>
        <v>0</v>
      </c>
      <c r="D137" s="43">
        <f>'PCFP-All Expense AA-1 Modif-9'!J119</f>
        <v>0</v>
      </c>
      <c r="E137" s="487">
        <f t="shared" si="1"/>
        <v>0</v>
      </c>
      <c r="F137" s="26"/>
    </row>
    <row r="138" spans="2:6" hidden="1" x14ac:dyDescent="0.2">
      <c r="B138" t="s">
        <v>236</v>
      </c>
      <c r="C138" s="43">
        <f>'19_20 District Budget-9'!U198</f>
        <v>0</v>
      </c>
      <c r="D138" s="43">
        <f>'PCFP-All Expense AA-1 Modif-9'!J120</f>
        <v>1035195.67</v>
      </c>
      <c r="E138" s="487"/>
      <c r="F138" s="26"/>
    </row>
    <row r="139" spans="2:6" hidden="1" x14ac:dyDescent="0.2">
      <c r="B139" t="s">
        <v>237</v>
      </c>
      <c r="C139" s="43">
        <f>'19_20 District Budget-9'!U199</f>
        <v>0</v>
      </c>
      <c r="D139" s="43">
        <f>'PCFP-All Expense AA-1 Modif-9'!J121</f>
        <v>0</v>
      </c>
      <c r="E139" s="487">
        <f t="shared" ref="E139:E162" si="2">D139-C139</f>
        <v>0</v>
      </c>
      <c r="F139" s="26"/>
    </row>
    <row r="140" spans="2:6" hidden="1" x14ac:dyDescent="0.2">
      <c r="B140" t="s">
        <v>238</v>
      </c>
      <c r="C140" s="43">
        <f>'19_20 District Budget-9'!U200</f>
        <v>0</v>
      </c>
      <c r="D140" s="43">
        <f>'PCFP-All Expense AA-1 Modif-9'!J122</f>
        <v>0</v>
      </c>
      <c r="E140" s="487">
        <f t="shared" si="2"/>
        <v>0</v>
      </c>
      <c r="F140" s="26"/>
    </row>
    <row r="141" spans="2:6" hidden="1" x14ac:dyDescent="0.2">
      <c r="B141" t="s">
        <v>239</v>
      </c>
      <c r="C141" s="43">
        <f>'19_20 District Budget-9'!U201</f>
        <v>0</v>
      </c>
      <c r="D141" s="43">
        <f>'PCFP-All Expense AA-1 Modif-9'!J123</f>
        <v>0</v>
      </c>
      <c r="E141" s="487">
        <f t="shared" si="2"/>
        <v>0</v>
      </c>
      <c r="F141" s="26"/>
    </row>
    <row r="142" spans="2:6" hidden="1" x14ac:dyDescent="0.2">
      <c r="B142" t="s">
        <v>240</v>
      </c>
      <c r="C142" s="43">
        <f>'19_20 District Budget-9'!U202</f>
        <v>0</v>
      </c>
      <c r="D142" s="43">
        <f>'PCFP-All Expense AA-1 Modif-9'!J124</f>
        <v>0</v>
      </c>
      <c r="E142" s="487">
        <f t="shared" si="2"/>
        <v>0</v>
      </c>
      <c r="F142" s="26"/>
    </row>
    <row r="143" spans="2:6" hidden="1" x14ac:dyDescent="0.2">
      <c r="B143" t="s">
        <v>241</v>
      </c>
      <c r="C143" s="43">
        <f>'19_20 District Budget-9'!U203</f>
        <v>0</v>
      </c>
      <c r="D143" s="43">
        <f>'PCFP-All Expense AA-1 Modif-9'!J125</f>
        <v>0</v>
      </c>
      <c r="E143" s="487">
        <f t="shared" si="2"/>
        <v>0</v>
      </c>
      <c r="F143" s="26"/>
    </row>
    <row r="144" spans="2:6" hidden="1" x14ac:dyDescent="0.2">
      <c r="B144" t="s">
        <v>242</v>
      </c>
      <c r="C144" s="43">
        <f>'19_20 District Budget-9'!U204</f>
        <v>-21442</v>
      </c>
      <c r="D144" s="43">
        <f>'PCFP-All Expense AA-1 Modif-9'!J126</f>
        <v>21442</v>
      </c>
      <c r="E144" s="487"/>
      <c r="F144" s="26"/>
    </row>
    <row r="145" spans="2:6" hidden="1" x14ac:dyDescent="0.2">
      <c r="B145" t="s">
        <v>243</v>
      </c>
      <c r="C145" s="43">
        <f>'19_20 District Budget-9'!U205</f>
        <v>0</v>
      </c>
      <c r="D145" s="43">
        <f>'PCFP-All Expense AA-1 Modif-9'!J127</f>
        <v>0</v>
      </c>
      <c r="E145" s="487">
        <f t="shared" si="2"/>
        <v>0</v>
      </c>
      <c r="F145" s="26"/>
    </row>
    <row r="146" spans="2:6" hidden="1" x14ac:dyDescent="0.2">
      <c r="B146" t="s">
        <v>244</v>
      </c>
      <c r="C146" s="43">
        <f>'19_20 District Budget-9'!U206</f>
        <v>0</v>
      </c>
      <c r="D146" s="43">
        <f>'PCFP-All Expense AA-1 Modif-9'!J128</f>
        <v>0</v>
      </c>
      <c r="E146" s="487">
        <f t="shared" si="2"/>
        <v>0</v>
      </c>
      <c r="F146" s="26"/>
    </row>
    <row r="147" spans="2:6" hidden="1" x14ac:dyDescent="0.2">
      <c r="B147" s="2" t="s">
        <v>245</v>
      </c>
      <c r="C147" s="43"/>
      <c r="D147" s="43">
        <f>'PCFP-All Expense AA-1 Modif-9'!J129</f>
        <v>0</v>
      </c>
      <c r="E147" s="487">
        <f t="shared" si="2"/>
        <v>0</v>
      </c>
      <c r="F147" s="26"/>
    </row>
    <row r="148" spans="2:6" hidden="1" x14ac:dyDescent="0.2">
      <c r="B148" t="s">
        <v>246</v>
      </c>
      <c r="C148" s="43">
        <f>'19_20 District Budget-9'!U208</f>
        <v>0</v>
      </c>
      <c r="D148" s="43">
        <f>'PCFP-All Expense AA-1 Modif-9'!J130</f>
        <v>0</v>
      </c>
      <c r="E148" s="487">
        <f t="shared" si="2"/>
        <v>0</v>
      </c>
      <c r="F148" s="26"/>
    </row>
    <row r="149" spans="2:6" hidden="1" x14ac:dyDescent="0.2">
      <c r="B149" t="s">
        <v>247</v>
      </c>
      <c r="C149" s="43">
        <f>'19_20 District Budget-9'!U209</f>
        <v>0</v>
      </c>
      <c r="D149" s="43">
        <f>'PCFP-All Expense AA-1 Modif-9'!J131</f>
        <v>0</v>
      </c>
      <c r="E149" s="487">
        <f t="shared" si="2"/>
        <v>0</v>
      </c>
      <c r="F149" s="26"/>
    </row>
    <row r="150" spans="2:6" hidden="1" x14ac:dyDescent="0.2">
      <c r="B150" t="s">
        <v>248</v>
      </c>
      <c r="C150" s="43">
        <f>'19_20 District Budget-9'!U210</f>
        <v>0</v>
      </c>
      <c r="D150" s="43">
        <f>'PCFP-All Expense AA-1 Modif-9'!J132</f>
        <v>0</v>
      </c>
      <c r="E150" s="487">
        <f t="shared" si="2"/>
        <v>0</v>
      </c>
      <c r="F150" s="26"/>
    </row>
    <row r="151" spans="2:6" hidden="1" x14ac:dyDescent="0.2">
      <c r="B151" t="s">
        <v>249</v>
      </c>
      <c r="C151" s="43">
        <f>'19_20 District Budget-9'!U211</f>
        <v>0</v>
      </c>
      <c r="D151" s="43">
        <f>'PCFP-All Expense AA-1 Modif-9'!J133</f>
        <v>3078978</v>
      </c>
      <c r="E151" s="487"/>
      <c r="F151" s="26"/>
    </row>
    <row r="152" spans="2:6" hidden="1" x14ac:dyDescent="0.2">
      <c r="B152" t="s">
        <v>250</v>
      </c>
      <c r="C152" s="43">
        <f>'19_20 District Budget-9'!U212</f>
        <v>0</v>
      </c>
      <c r="D152" s="43">
        <f>'PCFP-All Expense AA-1 Modif-9'!J134</f>
        <v>0</v>
      </c>
      <c r="E152" s="487">
        <f t="shared" si="2"/>
        <v>0</v>
      </c>
      <c r="F152" s="26"/>
    </row>
    <row r="153" spans="2:6" hidden="1" x14ac:dyDescent="0.2">
      <c r="B153" t="s">
        <v>251</v>
      </c>
      <c r="C153" s="43">
        <f>'19_20 District Budget-9'!U213</f>
        <v>0</v>
      </c>
      <c r="D153" s="43">
        <f>'PCFP-All Expense AA-1 Modif-9'!J135</f>
        <v>0</v>
      </c>
      <c r="E153" s="487">
        <f t="shared" si="2"/>
        <v>0</v>
      </c>
      <c r="F153" s="26"/>
    </row>
    <row r="154" spans="2:6" hidden="1" x14ac:dyDescent="0.2">
      <c r="B154" t="s">
        <v>252</v>
      </c>
      <c r="C154" s="43">
        <f>'19_20 District Budget-9'!U214</f>
        <v>0</v>
      </c>
      <c r="D154" s="43">
        <f>'PCFP-All Expense AA-1 Modif-9'!J136</f>
        <v>0</v>
      </c>
      <c r="E154" s="487">
        <f t="shared" si="2"/>
        <v>0</v>
      </c>
      <c r="F154" s="26"/>
    </row>
    <row r="155" spans="2:6" hidden="1" x14ac:dyDescent="0.2">
      <c r="B155" t="s">
        <v>253</v>
      </c>
      <c r="C155" s="43">
        <f>'19_20 District Budget-9'!U215</f>
        <v>0</v>
      </c>
      <c r="D155" s="43">
        <f>'PCFP-All Expense AA-1 Modif-9'!J137</f>
        <v>0</v>
      </c>
      <c r="E155" s="487">
        <f t="shared" si="2"/>
        <v>0</v>
      </c>
      <c r="F155" s="26"/>
    </row>
    <row r="156" spans="2:6" hidden="1" x14ac:dyDescent="0.2">
      <c r="B156" t="s">
        <v>254</v>
      </c>
      <c r="C156" s="43">
        <f>'19_20 District Budget-9'!U216</f>
        <v>0</v>
      </c>
      <c r="D156" s="43">
        <f>'PCFP-All Expense AA-1 Modif-9'!J138</f>
        <v>0</v>
      </c>
      <c r="E156" s="487">
        <f t="shared" si="2"/>
        <v>0</v>
      </c>
      <c r="F156" s="26"/>
    </row>
    <row r="157" spans="2:6" hidden="1" x14ac:dyDescent="0.2">
      <c r="B157" t="s">
        <v>255</v>
      </c>
      <c r="C157" s="43">
        <f>'19_20 District Budget-9'!U217</f>
        <v>0</v>
      </c>
      <c r="D157" s="43">
        <f>'PCFP-All Expense AA-1 Modif-9'!J139</f>
        <v>0</v>
      </c>
      <c r="E157" s="487">
        <f t="shared" si="2"/>
        <v>0</v>
      </c>
      <c r="F157" s="26"/>
    </row>
    <row r="158" spans="2:6" hidden="1" x14ac:dyDescent="0.2">
      <c r="B158" t="s">
        <v>256</v>
      </c>
      <c r="C158" s="43">
        <f>'19_20 District Budget-9'!U218</f>
        <v>0</v>
      </c>
      <c r="D158" s="43">
        <f>'PCFP-All Expense AA-1 Modif-9'!J140</f>
        <v>0</v>
      </c>
      <c r="E158" s="487">
        <f t="shared" si="2"/>
        <v>0</v>
      </c>
      <c r="F158" s="26"/>
    </row>
    <row r="159" spans="2:6" hidden="1" x14ac:dyDescent="0.2">
      <c r="B159" t="s">
        <v>257</v>
      </c>
      <c r="C159" s="43">
        <f>'19_20 District Budget-9'!U219</f>
        <v>0</v>
      </c>
      <c r="D159" s="43">
        <f>'PCFP-All Expense AA-1 Modif-9'!J141</f>
        <v>0</v>
      </c>
      <c r="E159" s="487">
        <f t="shared" si="2"/>
        <v>0</v>
      </c>
      <c r="F159" s="26"/>
    </row>
    <row r="160" spans="2:6" hidden="1" x14ac:dyDescent="0.2">
      <c r="B160" t="s">
        <v>258</v>
      </c>
      <c r="C160" s="43">
        <f>'19_20 District Budget-9'!U220</f>
        <v>0</v>
      </c>
      <c r="D160" s="43">
        <f>'PCFP-All Expense AA-1 Modif-9'!J142</f>
        <v>0</v>
      </c>
      <c r="E160" s="487">
        <f t="shared" si="2"/>
        <v>0</v>
      </c>
      <c r="F160" s="26"/>
    </row>
    <row r="161" spans="2:6" hidden="1" x14ac:dyDescent="0.2">
      <c r="B161" t="s">
        <v>259</v>
      </c>
      <c r="C161" s="43">
        <f>'19_20 District Budget-9'!U221</f>
        <v>0</v>
      </c>
      <c r="D161" s="43">
        <f>'PCFP-All Expense AA-1 Modif-9'!J143</f>
        <v>0</v>
      </c>
      <c r="E161" s="487">
        <f t="shared" si="2"/>
        <v>0</v>
      </c>
      <c r="F161" s="26"/>
    </row>
    <row r="162" spans="2:6" hidden="1" x14ac:dyDescent="0.2">
      <c r="B162" t="s">
        <v>260</v>
      </c>
      <c r="C162" s="43">
        <f>'19_20 District Budget-9'!U222</f>
        <v>0</v>
      </c>
      <c r="D162" s="43">
        <f>'PCFP-All Expense AA-1 Modif-9'!J144</f>
        <v>0</v>
      </c>
      <c r="E162" s="487">
        <f t="shared" si="2"/>
        <v>0</v>
      </c>
      <c r="F162" s="26"/>
    </row>
    <row r="163" spans="2:6" hidden="1" x14ac:dyDescent="0.2">
      <c r="B163" t="s">
        <v>648</v>
      </c>
      <c r="C163" s="43">
        <f>'19_20 District Budget-9'!U223</f>
        <v>0</v>
      </c>
      <c r="D163" s="43">
        <f>'PCFP-All Expense AA-1 Modif-9'!J147</f>
        <v>-2163639</v>
      </c>
      <c r="E163" s="487"/>
    </row>
  </sheetData>
  <pageMargins left="0.7" right="0.7" top="0.75" bottom="0.75" header="0.3" footer="0.3"/>
  <pageSetup scale="93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0D751-8A97-4558-ADB6-E53A639896A8}">
  <dimension ref="A1:X223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85" sqref="C85:U204"/>
    </sheetView>
  </sheetViews>
  <sheetFormatPr defaultRowHeight="12.75" x14ac:dyDescent="0.2"/>
  <cols>
    <col min="1" max="1" width="5.7109375" style="2" bestFit="1" customWidth="1"/>
    <col min="2" max="2" width="43.5703125" style="3" bestFit="1" customWidth="1"/>
    <col min="3" max="3" width="16.140625" style="933" bestFit="1" customWidth="1"/>
    <col min="4" max="5" width="13.28515625" style="933" bestFit="1" customWidth="1"/>
    <col min="6" max="6" width="15.5703125" style="933" bestFit="1" customWidth="1"/>
    <col min="7" max="7" width="13.28515625" style="933" bestFit="1" customWidth="1"/>
    <col min="8" max="8" width="12.28515625" style="933" bestFit="1" customWidth="1"/>
    <col min="9" max="10" width="15" style="933" bestFit="1" customWidth="1"/>
    <col min="11" max="11" width="13.28515625" style="933" bestFit="1" customWidth="1"/>
    <col min="12" max="12" width="14.7109375" style="933" bestFit="1" customWidth="1"/>
    <col min="13" max="13" width="13.85546875" style="933" bestFit="1" customWidth="1"/>
    <col min="14" max="16" width="15" style="933" bestFit="1" customWidth="1"/>
    <col min="17" max="17" width="14.140625" style="933" bestFit="1" customWidth="1"/>
    <col min="18" max="18" width="12.28515625" style="933" bestFit="1" customWidth="1"/>
    <col min="19" max="20" width="15.7109375" style="933" bestFit="1" customWidth="1"/>
    <col min="21" max="21" width="35.7109375" style="3" bestFit="1" customWidth="1"/>
    <col min="22" max="22" width="14.85546875" style="3" bestFit="1" customWidth="1"/>
    <col min="23" max="23" width="19.28515625" hidden="1" customWidth="1"/>
    <col min="24" max="24" width="34.7109375" hidden="1" customWidth="1"/>
  </cols>
  <sheetData>
    <row r="1" spans="1:24" s="8" customFormat="1" ht="18" x14ac:dyDescent="0.25">
      <c r="A1" s="6"/>
      <c r="B1" s="9" t="s">
        <v>261</v>
      </c>
      <c r="C1" s="10" t="s">
        <v>644</v>
      </c>
      <c r="D1" s="10" t="s">
        <v>119</v>
      </c>
      <c r="E1" s="332" t="s">
        <v>262</v>
      </c>
      <c r="F1" s="333">
        <v>38959097</v>
      </c>
      <c r="G1" s="531"/>
      <c r="I1" s="10"/>
      <c r="L1" s="10"/>
      <c r="M1" s="10"/>
      <c r="N1" s="10"/>
      <c r="O1" s="10"/>
      <c r="Q1" s="10"/>
      <c r="R1" s="10"/>
      <c r="S1" s="10"/>
      <c r="T1" s="10"/>
    </row>
    <row r="2" spans="1:24" x14ac:dyDescent="0.2">
      <c r="G2" s="19"/>
      <c r="S2" s="531"/>
      <c r="U2" s="2"/>
    </row>
    <row r="3" spans="1:24" s="526" customFormat="1" ht="38.25" x14ac:dyDescent="0.2">
      <c r="A3" s="524"/>
      <c r="B3" s="524" t="s">
        <v>120</v>
      </c>
      <c r="C3" s="525" t="s">
        <v>263</v>
      </c>
      <c r="D3" s="525" t="s">
        <v>173</v>
      </c>
      <c r="E3" s="525" t="s">
        <v>213</v>
      </c>
      <c r="F3" s="525" t="s">
        <v>594</v>
      </c>
      <c r="G3" s="525" t="s">
        <v>191</v>
      </c>
      <c r="H3" s="525" t="s">
        <v>145</v>
      </c>
      <c r="I3" s="525" t="s">
        <v>236</v>
      </c>
      <c r="J3" s="525" t="s">
        <v>9</v>
      </c>
      <c r="K3" s="525" t="s">
        <v>649</v>
      </c>
      <c r="L3" s="525" t="s">
        <v>204</v>
      </c>
      <c r="M3" s="525" t="s">
        <v>206</v>
      </c>
      <c r="N3" s="525" t="s">
        <v>185</v>
      </c>
      <c r="O3" s="525" t="s">
        <v>203</v>
      </c>
      <c r="P3" s="525" t="s">
        <v>188</v>
      </c>
      <c r="Q3" s="525" t="s">
        <v>650</v>
      </c>
      <c r="R3" s="525" t="s">
        <v>639</v>
      </c>
      <c r="S3" s="525" t="s">
        <v>647</v>
      </c>
      <c r="T3" s="525" t="s">
        <v>272</v>
      </c>
      <c r="U3" s="524" t="s">
        <v>273</v>
      </c>
      <c r="V3" s="943"/>
    </row>
    <row r="4" spans="1:24" s="526" customFormat="1" x14ac:dyDescent="0.2">
      <c r="A4" s="524"/>
      <c r="B4" s="524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4"/>
      <c r="V4" s="943"/>
      <c r="W4" s="532">
        <f>SUM(W5:W11)</f>
        <v>15438680</v>
      </c>
    </row>
    <row r="5" spans="1:24" s="291" customFormat="1" x14ac:dyDescent="0.2">
      <c r="A5" s="942"/>
      <c r="B5" s="932" t="s">
        <v>274</v>
      </c>
      <c r="C5" s="935">
        <v>4734803</v>
      </c>
      <c r="D5" s="935">
        <v>0</v>
      </c>
      <c r="E5" s="935">
        <v>0</v>
      </c>
      <c r="F5" s="935">
        <v>0</v>
      </c>
      <c r="G5" s="935">
        <v>0</v>
      </c>
      <c r="H5" s="935">
        <v>0</v>
      </c>
      <c r="I5" s="935">
        <v>0</v>
      </c>
      <c r="J5" s="935">
        <v>0</v>
      </c>
      <c r="K5" s="935">
        <v>0</v>
      </c>
      <c r="L5" s="935">
        <v>0</v>
      </c>
      <c r="M5" s="935">
        <v>0</v>
      </c>
      <c r="N5" s="935">
        <v>0</v>
      </c>
      <c r="O5" s="935">
        <v>0</v>
      </c>
      <c r="P5" s="935">
        <v>0</v>
      </c>
      <c r="Q5" s="935">
        <v>0</v>
      </c>
      <c r="R5" s="935">
        <v>0</v>
      </c>
      <c r="S5" s="935">
        <v>0</v>
      </c>
      <c r="T5" s="935">
        <v>0</v>
      </c>
      <c r="U5" s="935" t="str">
        <f t="shared" ref="U5:U31" si="0">B5</f>
        <v>Property Taxes</v>
      </c>
      <c r="V5" s="939">
        <f t="shared" ref="V5:V31" si="1">SUM(C5:T5)</f>
        <v>4734803</v>
      </c>
      <c r="W5" s="293">
        <f>V5-D5</f>
        <v>4734803</v>
      </c>
      <c r="X5" s="292" t="s">
        <v>275</v>
      </c>
    </row>
    <row r="6" spans="1:24" s="291" customFormat="1" x14ac:dyDescent="0.2">
      <c r="A6" s="942"/>
      <c r="B6" s="932" t="s">
        <v>474</v>
      </c>
      <c r="C6" s="935">
        <v>8834921</v>
      </c>
      <c r="D6" s="935">
        <v>0</v>
      </c>
      <c r="E6" s="935">
        <v>0</v>
      </c>
      <c r="F6" s="935">
        <v>0</v>
      </c>
      <c r="G6" s="935">
        <v>0</v>
      </c>
      <c r="H6" s="935">
        <v>0</v>
      </c>
      <c r="I6" s="935">
        <v>0</v>
      </c>
      <c r="J6" s="935">
        <v>0</v>
      </c>
      <c r="K6" s="935">
        <v>10000</v>
      </c>
      <c r="L6" s="935">
        <v>0</v>
      </c>
      <c r="M6" s="935">
        <v>0</v>
      </c>
      <c r="N6" s="935">
        <v>0</v>
      </c>
      <c r="O6" s="935">
        <v>0</v>
      </c>
      <c r="P6" s="935">
        <v>0</v>
      </c>
      <c r="Q6" s="935">
        <v>10000</v>
      </c>
      <c r="R6" s="935">
        <v>0</v>
      </c>
      <c r="S6" s="935">
        <v>0</v>
      </c>
      <c r="T6" s="935">
        <v>0</v>
      </c>
      <c r="U6" s="935" t="str">
        <f t="shared" si="0"/>
        <v>Net Proceeds from Mines</v>
      </c>
      <c r="V6" s="939">
        <f t="shared" si="1"/>
        <v>8854921</v>
      </c>
      <c r="W6" s="293">
        <f>V6-D6-Q6-K6</f>
        <v>8834921</v>
      </c>
      <c r="X6" s="292" t="s">
        <v>473</v>
      </c>
    </row>
    <row r="7" spans="1:24" s="37" customFormat="1" x14ac:dyDescent="0.2">
      <c r="A7" s="3"/>
      <c r="B7" s="3" t="s">
        <v>276</v>
      </c>
      <c r="C7" s="935">
        <v>1274020</v>
      </c>
      <c r="D7" s="935">
        <v>0</v>
      </c>
      <c r="E7" s="935">
        <v>0</v>
      </c>
      <c r="F7" s="935">
        <v>0</v>
      </c>
      <c r="G7" s="935">
        <v>0</v>
      </c>
      <c r="H7" s="935">
        <v>0</v>
      </c>
      <c r="I7" s="935">
        <v>0</v>
      </c>
      <c r="J7" s="935">
        <v>0</v>
      </c>
      <c r="K7" s="935">
        <v>0</v>
      </c>
      <c r="L7" s="935">
        <v>0</v>
      </c>
      <c r="M7" s="935">
        <v>0</v>
      </c>
      <c r="N7" s="935">
        <v>0</v>
      </c>
      <c r="O7" s="935">
        <v>0</v>
      </c>
      <c r="P7" s="935">
        <v>0</v>
      </c>
      <c r="Q7" s="935">
        <v>0</v>
      </c>
      <c r="R7" s="935">
        <v>0</v>
      </c>
      <c r="S7" s="935">
        <v>0</v>
      </c>
      <c r="T7" s="935">
        <v>0</v>
      </c>
      <c r="U7" s="935" t="str">
        <f t="shared" si="0"/>
        <v>School Support Taxes</v>
      </c>
      <c r="V7" s="939">
        <f t="shared" si="1"/>
        <v>1274020</v>
      </c>
      <c r="W7" s="38">
        <f>V7</f>
        <v>1274020</v>
      </c>
      <c r="X7" s="37" t="s">
        <v>275</v>
      </c>
    </row>
    <row r="8" spans="1:24" s="37" customFormat="1" hidden="1" x14ac:dyDescent="0.2">
      <c r="A8" s="3"/>
      <c r="B8" s="3" t="s">
        <v>551</v>
      </c>
      <c r="C8" s="935">
        <v>0</v>
      </c>
      <c r="D8" s="935">
        <v>0</v>
      </c>
      <c r="E8" s="935">
        <v>0</v>
      </c>
      <c r="F8" s="935">
        <v>0</v>
      </c>
      <c r="G8" s="935">
        <v>0</v>
      </c>
      <c r="H8" s="935">
        <v>0</v>
      </c>
      <c r="I8" s="935">
        <v>0</v>
      </c>
      <c r="J8" s="935">
        <v>0</v>
      </c>
      <c r="K8" s="935">
        <v>0</v>
      </c>
      <c r="L8" s="935">
        <v>0</v>
      </c>
      <c r="M8" s="935">
        <v>0</v>
      </c>
      <c r="N8" s="935">
        <v>0</v>
      </c>
      <c r="O8" s="935">
        <v>0</v>
      </c>
      <c r="P8" s="935">
        <v>0</v>
      </c>
      <c r="Q8" s="935">
        <v>0</v>
      </c>
      <c r="R8" s="935">
        <v>0</v>
      </c>
      <c r="S8" s="935">
        <v>0</v>
      </c>
      <c r="T8" s="935">
        <v>0</v>
      </c>
      <c r="U8" s="935" t="str">
        <f t="shared" si="0"/>
        <v>Real Estate Transfer Tax</v>
      </c>
      <c r="V8" s="939">
        <f t="shared" si="1"/>
        <v>0</v>
      </c>
    </row>
    <row r="9" spans="1:24" s="37" customFormat="1" hidden="1" x14ac:dyDescent="0.2">
      <c r="A9" s="3"/>
      <c r="B9" s="3" t="s">
        <v>550</v>
      </c>
      <c r="C9" s="935">
        <v>0</v>
      </c>
      <c r="D9" s="935">
        <v>0</v>
      </c>
      <c r="E9" s="935">
        <v>0</v>
      </c>
      <c r="F9" s="935">
        <v>0</v>
      </c>
      <c r="G9" s="935">
        <v>0</v>
      </c>
      <c r="H9" s="935">
        <v>0</v>
      </c>
      <c r="I9" s="935">
        <v>0</v>
      </c>
      <c r="J9" s="935">
        <v>0</v>
      </c>
      <c r="K9" s="935">
        <v>0</v>
      </c>
      <c r="L9" s="935">
        <v>0</v>
      </c>
      <c r="M9" s="935">
        <v>0</v>
      </c>
      <c r="N9" s="935">
        <v>0</v>
      </c>
      <c r="O9" s="935">
        <v>0</v>
      </c>
      <c r="P9" s="935">
        <v>0</v>
      </c>
      <c r="Q9" s="935">
        <v>0</v>
      </c>
      <c r="R9" s="935">
        <v>0</v>
      </c>
      <c r="S9" s="935">
        <v>0</v>
      </c>
      <c r="T9" s="935">
        <v>0</v>
      </c>
      <c r="U9" s="935" t="str">
        <f t="shared" si="0"/>
        <v>Room Tax</v>
      </c>
      <c r="V9" s="939">
        <f t="shared" si="1"/>
        <v>0</v>
      </c>
      <c r="W9" s="38">
        <f>V9</f>
        <v>0</v>
      </c>
      <c r="X9" s="37" t="s">
        <v>275</v>
      </c>
    </row>
    <row r="10" spans="1:24" s="37" customFormat="1" hidden="1" x14ac:dyDescent="0.2">
      <c r="A10" s="3"/>
      <c r="B10" s="3" t="s">
        <v>277</v>
      </c>
      <c r="C10" s="935">
        <v>0</v>
      </c>
      <c r="D10" s="935">
        <v>0</v>
      </c>
      <c r="E10" s="935">
        <v>0</v>
      </c>
      <c r="F10" s="935">
        <v>0</v>
      </c>
      <c r="G10" s="935">
        <v>0</v>
      </c>
      <c r="H10" s="935">
        <v>0</v>
      </c>
      <c r="I10" s="935">
        <v>0</v>
      </c>
      <c r="J10" s="935">
        <v>0</v>
      </c>
      <c r="K10" s="935">
        <v>0</v>
      </c>
      <c r="L10" s="935">
        <v>0</v>
      </c>
      <c r="M10" s="935">
        <v>0</v>
      </c>
      <c r="N10" s="935">
        <v>0</v>
      </c>
      <c r="O10" s="935">
        <v>0</v>
      </c>
      <c r="P10" s="935">
        <v>0</v>
      </c>
      <c r="Q10" s="935">
        <v>0</v>
      </c>
      <c r="R10" s="935">
        <v>0</v>
      </c>
      <c r="S10" s="935">
        <v>0</v>
      </c>
      <c r="T10" s="935">
        <v>0</v>
      </c>
      <c r="U10" s="935" t="str">
        <f t="shared" si="0"/>
        <v>Franchise Taxes</v>
      </c>
      <c r="V10" s="939">
        <f t="shared" si="1"/>
        <v>0</v>
      </c>
      <c r="W10" s="38">
        <f t="shared" ref="W10" si="2">V10</f>
        <v>0</v>
      </c>
      <c r="X10" s="37" t="s">
        <v>275</v>
      </c>
    </row>
    <row r="11" spans="1:24" s="37" customFormat="1" x14ac:dyDescent="0.2">
      <c r="A11" s="3"/>
      <c r="B11" s="3" t="s">
        <v>278</v>
      </c>
      <c r="C11" s="935">
        <v>594936</v>
      </c>
      <c r="D11" s="935">
        <v>0</v>
      </c>
      <c r="E11" s="935">
        <v>0</v>
      </c>
      <c r="F11" s="935">
        <v>0</v>
      </c>
      <c r="G11" s="935">
        <v>0</v>
      </c>
      <c r="H11" s="935">
        <v>0</v>
      </c>
      <c r="I11" s="935">
        <v>0</v>
      </c>
      <c r="J11" s="935">
        <v>0</v>
      </c>
      <c r="K11" s="935">
        <v>0</v>
      </c>
      <c r="L11" s="935">
        <v>0</v>
      </c>
      <c r="M11" s="935">
        <v>0</v>
      </c>
      <c r="N11" s="935">
        <v>0</v>
      </c>
      <c r="O11" s="935">
        <v>0</v>
      </c>
      <c r="P11" s="935">
        <v>0</v>
      </c>
      <c r="Q11" s="935">
        <v>0</v>
      </c>
      <c r="R11" s="935">
        <v>0</v>
      </c>
      <c r="S11" s="935">
        <v>0</v>
      </c>
      <c r="T11" s="935">
        <v>0</v>
      </c>
      <c r="U11" s="935" t="str">
        <f t="shared" si="0"/>
        <v>Governmental Services Tax</v>
      </c>
      <c r="V11" s="939">
        <f t="shared" si="1"/>
        <v>594936</v>
      </c>
      <c r="W11" s="38">
        <f>V11-D11-P11</f>
        <v>594936</v>
      </c>
      <c r="X11" s="37" t="s">
        <v>279</v>
      </c>
    </row>
    <row r="12" spans="1:24" s="37" customFormat="1" hidden="1" x14ac:dyDescent="0.2">
      <c r="A12" s="3"/>
      <c r="B12" s="3" t="s">
        <v>338</v>
      </c>
      <c r="C12" s="935">
        <v>0</v>
      </c>
      <c r="D12" s="935">
        <v>0</v>
      </c>
      <c r="E12" s="935">
        <v>0</v>
      </c>
      <c r="F12" s="935">
        <v>0</v>
      </c>
      <c r="G12" s="935">
        <v>0</v>
      </c>
      <c r="H12" s="935">
        <v>0</v>
      </c>
      <c r="I12" s="935">
        <v>0</v>
      </c>
      <c r="J12" s="935">
        <v>0</v>
      </c>
      <c r="K12" s="935">
        <v>0</v>
      </c>
      <c r="L12" s="935">
        <v>0</v>
      </c>
      <c r="M12" s="935">
        <v>0</v>
      </c>
      <c r="N12" s="935">
        <v>0</v>
      </c>
      <c r="O12" s="935">
        <v>0</v>
      </c>
      <c r="P12" s="935">
        <v>0</v>
      </c>
      <c r="Q12" s="935">
        <v>0</v>
      </c>
      <c r="R12" s="935">
        <v>0</v>
      </c>
      <c r="S12" s="935">
        <v>0</v>
      </c>
      <c r="T12" s="935">
        <v>0</v>
      </c>
      <c r="U12" s="935" t="str">
        <f t="shared" si="0"/>
        <v>Other Taxes</v>
      </c>
      <c r="V12" s="939">
        <f t="shared" si="1"/>
        <v>0</v>
      </c>
      <c r="W12" s="38"/>
    </row>
    <row r="13" spans="1:24" s="37" customFormat="1" x14ac:dyDescent="0.2">
      <c r="A13" s="3"/>
      <c r="B13" s="3" t="s">
        <v>281</v>
      </c>
      <c r="C13" s="935">
        <v>2500</v>
      </c>
      <c r="D13" s="935">
        <v>0</v>
      </c>
      <c r="E13" s="935">
        <v>0</v>
      </c>
      <c r="F13" s="935">
        <v>0</v>
      </c>
      <c r="G13" s="935">
        <v>0</v>
      </c>
      <c r="H13" s="935">
        <v>0</v>
      </c>
      <c r="I13" s="935">
        <v>0</v>
      </c>
      <c r="J13" s="935">
        <v>0</v>
      </c>
      <c r="K13" s="935">
        <v>0</v>
      </c>
      <c r="L13" s="935">
        <v>0</v>
      </c>
      <c r="M13" s="935">
        <v>0</v>
      </c>
      <c r="N13" s="935">
        <v>0</v>
      </c>
      <c r="O13" s="935">
        <v>0</v>
      </c>
      <c r="P13" s="935">
        <v>0</v>
      </c>
      <c r="Q13" s="935">
        <v>0</v>
      </c>
      <c r="R13" s="935">
        <v>0</v>
      </c>
      <c r="S13" s="935">
        <v>0</v>
      </c>
      <c r="T13" s="935">
        <v>0</v>
      </c>
      <c r="U13" s="935" t="str">
        <f t="shared" si="0"/>
        <v>Boat Registration</v>
      </c>
      <c r="V13" s="939">
        <f t="shared" si="1"/>
        <v>2500</v>
      </c>
    </row>
    <row r="14" spans="1:24" s="37" customFormat="1" hidden="1" x14ac:dyDescent="0.2">
      <c r="A14" s="3"/>
      <c r="B14" s="3" t="s">
        <v>227</v>
      </c>
      <c r="C14" s="935">
        <v>0</v>
      </c>
      <c r="D14" s="935">
        <v>0</v>
      </c>
      <c r="E14" s="935">
        <v>0</v>
      </c>
      <c r="F14" s="935">
        <v>0</v>
      </c>
      <c r="G14" s="935">
        <v>0</v>
      </c>
      <c r="H14" s="935">
        <v>0</v>
      </c>
      <c r="I14" s="935">
        <v>0</v>
      </c>
      <c r="J14" s="935">
        <v>0</v>
      </c>
      <c r="K14" s="935">
        <v>0</v>
      </c>
      <c r="L14" s="935">
        <v>0</v>
      </c>
      <c r="M14" s="935">
        <v>0</v>
      </c>
      <c r="N14" s="935">
        <v>0</v>
      </c>
      <c r="O14" s="935">
        <v>0</v>
      </c>
      <c r="P14" s="935">
        <v>0</v>
      </c>
      <c r="Q14" s="935">
        <v>0</v>
      </c>
      <c r="R14" s="935">
        <v>0</v>
      </c>
      <c r="S14" s="935">
        <v>0</v>
      </c>
      <c r="T14" s="935">
        <v>0</v>
      </c>
      <c r="U14" s="935" t="str">
        <f t="shared" si="0"/>
        <v>Residential Construction Tax</v>
      </c>
      <c r="V14" s="939">
        <f t="shared" si="1"/>
        <v>0</v>
      </c>
    </row>
    <row r="15" spans="1:24" s="37" customFormat="1" x14ac:dyDescent="0.2">
      <c r="A15" s="3"/>
      <c r="B15" s="3" t="s">
        <v>282</v>
      </c>
      <c r="C15" s="935">
        <v>20000</v>
      </c>
      <c r="D15" s="935">
        <v>0</v>
      </c>
      <c r="E15" s="935">
        <v>0</v>
      </c>
      <c r="F15" s="935">
        <v>0</v>
      </c>
      <c r="G15" s="935">
        <v>0</v>
      </c>
      <c r="H15" s="935">
        <v>0</v>
      </c>
      <c r="I15" s="935">
        <v>0</v>
      </c>
      <c r="J15" s="935">
        <v>0</v>
      </c>
      <c r="K15" s="935">
        <v>0</v>
      </c>
      <c r="L15" s="935">
        <v>0</v>
      </c>
      <c r="M15" s="935">
        <v>0</v>
      </c>
      <c r="N15" s="935">
        <v>0</v>
      </c>
      <c r="O15" s="935">
        <v>0</v>
      </c>
      <c r="P15" s="935">
        <v>0</v>
      </c>
      <c r="Q15" s="935">
        <v>0</v>
      </c>
      <c r="R15" s="935">
        <v>0</v>
      </c>
      <c r="S15" s="935">
        <v>0</v>
      </c>
      <c r="T15" s="935">
        <v>0</v>
      </c>
      <c r="U15" s="935" t="str">
        <f t="shared" si="0"/>
        <v>Tuition</v>
      </c>
      <c r="V15" s="939">
        <f t="shared" si="1"/>
        <v>20000</v>
      </c>
    </row>
    <row r="16" spans="1:24" s="37" customFormat="1" hidden="1" x14ac:dyDescent="0.2">
      <c r="A16" s="3"/>
      <c r="B16" s="3" t="s">
        <v>143</v>
      </c>
      <c r="C16" s="935">
        <v>0</v>
      </c>
      <c r="D16" s="935">
        <v>0</v>
      </c>
      <c r="E16" s="935">
        <v>0</v>
      </c>
      <c r="F16" s="935">
        <v>0</v>
      </c>
      <c r="G16" s="935">
        <v>0</v>
      </c>
      <c r="H16" s="935">
        <v>0</v>
      </c>
      <c r="I16" s="935">
        <v>0</v>
      </c>
      <c r="J16" s="935">
        <v>0</v>
      </c>
      <c r="K16" s="935">
        <v>0</v>
      </c>
      <c r="L16" s="935">
        <v>0</v>
      </c>
      <c r="M16" s="935">
        <v>0</v>
      </c>
      <c r="N16" s="935">
        <v>0</v>
      </c>
      <c r="O16" s="935">
        <v>0</v>
      </c>
      <c r="P16" s="935">
        <v>0</v>
      </c>
      <c r="Q16" s="935">
        <v>0</v>
      </c>
      <c r="R16" s="935">
        <v>0</v>
      </c>
      <c r="S16" s="935">
        <v>0</v>
      </c>
      <c r="T16" s="935">
        <v>0</v>
      </c>
      <c r="U16" s="935" t="str">
        <f t="shared" si="0"/>
        <v>Summer School</v>
      </c>
      <c r="V16" s="939">
        <f t="shared" si="1"/>
        <v>0</v>
      </c>
    </row>
    <row r="17" spans="1:22" s="37" customFormat="1" hidden="1" x14ac:dyDescent="0.2">
      <c r="A17" s="3"/>
      <c r="B17" s="3" t="s">
        <v>283</v>
      </c>
      <c r="C17" s="935">
        <v>0</v>
      </c>
      <c r="D17" s="935">
        <v>0</v>
      </c>
      <c r="E17" s="935">
        <v>0</v>
      </c>
      <c r="F17" s="935">
        <v>0</v>
      </c>
      <c r="G17" s="935">
        <v>0</v>
      </c>
      <c r="H17" s="935">
        <v>0</v>
      </c>
      <c r="I17" s="935">
        <v>0</v>
      </c>
      <c r="J17" s="935">
        <v>0</v>
      </c>
      <c r="K17" s="935">
        <v>0</v>
      </c>
      <c r="L17" s="935">
        <v>0</v>
      </c>
      <c r="M17" s="935">
        <v>0</v>
      </c>
      <c r="N17" s="935">
        <v>0</v>
      </c>
      <c r="O17" s="935">
        <v>0</v>
      </c>
      <c r="P17" s="935">
        <v>0</v>
      </c>
      <c r="Q17" s="935">
        <v>0</v>
      </c>
      <c r="R17" s="935">
        <v>0</v>
      </c>
      <c r="S17" s="935">
        <v>0</v>
      </c>
      <c r="T17" s="935">
        <v>0</v>
      </c>
      <c r="U17" s="935" t="str">
        <f t="shared" si="0"/>
        <v>Transportation Fees</v>
      </c>
      <c r="V17" s="939">
        <f t="shared" si="1"/>
        <v>0</v>
      </c>
    </row>
    <row r="18" spans="1:22" s="37" customFormat="1" x14ac:dyDescent="0.2">
      <c r="A18" s="3"/>
      <c r="B18" s="3" t="s">
        <v>284</v>
      </c>
      <c r="C18" s="935">
        <v>0</v>
      </c>
      <c r="D18" s="935">
        <v>0</v>
      </c>
      <c r="E18" s="935">
        <v>0</v>
      </c>
      <c r="F18" s="935">
        <v>0</v>
      </c>
      <c r="G18" s="935">
        <v>0</v>
      </c>
      <c r="H18" s="935">
        <v>0</v>
      </c>
      <c r="I18" s="935">
        <v>0</v>
      </c>
      <c r="J18" s="935">
        <v>0</v>
      </c>
      <c r="K18" s="935">
        <v>0</v>
      </c>
      <c r="L18" s="935">
        <v>0</v>
      </c>
      <c r="M18" s="935">
        <v>0</v>
      </c>
      <c r="N18" s="935">
        <v>0</v>
      </c>
      <c r="O18" s="935">
        <v>0</v>
      </c>
      <c r="P18" s="935">
        <v>0</v>
      </c>
      <c r="Q18" s="935">
        <v>0</v>
      </c>
      <c r="R18" s="935">
        <v>0</v>
      </c>
      <c r="S18" s="935">
        <v>22000</v>
      </c>
      <c r="T18" s="935">
        <v>0</v>
      </c>
      <c r="U18" s="935" t="str">
        <f t="shared" si="0"/>
        <v>Earnings on Investments</v>
      </c>
      <c r="V18" s="939">
        <f t="shared" si="1"/>
        <v>22000</v>
      </c>
    </row>
    <row r="19" spans="1:22" s="37" customFormat="1" x14ac:dyDescent="0.2">
      <c r="A19" s="3"/>
      <c r="B19" s="3" t="s">
        <v>651</v>
      </c>
      <c r="C19" s="935">
        <v>719</v>
      </c>
      <c r="D19" s="935">
        <v>0</v>
      </c>
      <c r="E19" s="935">
        <v>0</v>
      </c>
      <c r="F19" s="935">
        <v>0</v>
      </c>
      <c r="G19" s="935">
        <v>0</v>
      </c>
      <c r="H19" s="935">
        <v>0</v>
      </c>
      <c r="I19" s="935">
        <v>0</v>
      </c>
      <c r="J19" s="935">
        <v>0</v>
      </c>
      <c r="K19" s="935">
        <v>7500</v>
      </c>
      <c r="L19" s="935">
        <v>0</v>
      </c>
      <c r="M19" s="935">
        <v>0</v>
      </c>
      <c r="N19" s="935">
        <v>0</v>
      </c>
      <c r="O19" s="935">
        <v>0</v>
      </c>
      <c r="P19" s="935">
        <v>20000</v>
      </c>
      <c r="Q19" s="935">
        <v>1200</v>
      </c>
      <c r="R19" s="935">
        <v>0</v>
      </c>
      <c r="S19" s="935">
        <v>0</v>
      </c>
      <c r="T19" s="935">
        <v>0</v>
      </c>
      <c r="U19" s="935" t="str">
        <f t="shared" si="0"/>
        <v>Interest</v>
      </c>
      <c r="V19" s="939">
        <f>SUM(C19:T19)</f>
        <v>29419</v>
      </c>
    </row>
    <row r="20" spans="1:22" s="37" customFormat="1" x14ac:dyDescent="0.2">
      <c r="A20" s="3"/>
      <c r="B20" s="3" t="s">
        <v>652</v>
      </c>
      <c r="C20" s="935">
        <v>16256</v>
      </c>
      <c r="D20" s="935">
        <v>0</v>
      </c>
      <c r="E20" s="935">
        <v>0</v>
      </c>
      <c r="F20" s="935">
        <v>0</v>
      </c>
      <c r="G20" s="935">
        <v>0</v>
      </c>
      <c r="H20" s="935">
        <v>0</v>
      </c>
      <c r="I20" s="935">
        <v>0</v>
      </c>
      <c r="J20" s="935">
        <v>0</v>
      </c>
      <c r="K20" s="935">
        <v>1500</v>
      </c>
      <c r="L20" s="935">
        <v>0</v>
      </c>
      <c r="M20" s="935">
        <v>0</v>
      </c>
      <c r="N20" s="935">
        <v>0</v>
      </c>
      <c r="O20" s="935">
        <v>0</v>
      </c>
      <c r="P20" s="935">
        <v>25000</v>
      </c>
      <c r="Q20" s="935">
        <v>1000</v>
      </c>
      <c r="R20" s="935">
        <v>0</v>
      </c>
      <c r="S20" s="935">
        <v>0</v>
      </c>
      <c r="T20" s="935">
        <v>0</v>
      </c>
      <c r="U20" s="935" t="str">
        <f t="shared" si="0"/>
        <v>Dividends</v>
      </c>
      <c r="V20" s="939">
        <f t="shared" si="1"/>
        <v>43756</v>
      </c>
    </row>
    <row r="21" spans="1:22" s="37" customFormat="1" x14ac:dyDescent="0.2">
      <c r="A21" s="3"/>
      <c r="B21" s="3" t="s">
        <v>653</v>
      </c>
      <c r="C21" s="935">
        <v>150</v>
      </c>
      <c r="D21" s="935">
        <v>0</v>
      </c>
      <c r="E21" s="935">
        <v>0</v>
      </c>
      <c r="F21" s="935">
        <v>0</v>
      </c>
      <c r="G21" s="935">
        <v>0</v>
      </c>
      <c r="H21" s="935">
        <v>0</v>
      </c>
      <c r="I21" s="935">
        <v>0</v>
      </c>
      <c r="J21" s="935">
        <v>0</v>
      </c>
      <c r="K21" s="935">
        <v>250</v>
      </c>
      <c r="L21" s="935">
        <v>0</v>
      </c>
      <c r="M21" s="935">
        <v>0</v>
      </c>
      <c r="N21" s="935">
        <v>0</v>
      </c>
      <c r="O21" s="935">
        <v>0</v>
      </c>
      <c r="P21" s="935">
        <v>200000</v>
      </c>
      <c r="Q21" s="935">
        <v>500</v>
      </c>
      <c r="R21" s="935">
        <v>0</v>
      </c>
      <c r="S21" s="935">
        <v>0</v>
      </c>
      <c r="T21" s="935">
        <v>0</v>
      </c>
      <c r="U21" s="935" t="str">
        <f t="shared" si="0"/>
        <v>Unrealized Gain/Losses</v>
      </c>
      <c r="V21" s="939">
        <f t="shared" ref="V21:V22" si="3">SUM(C21:T21)</f>
        <v>200900</v>
      </c>
    </row>
    <row r="22" spans="1:22" s="37" customFormat="1" x14ac:dyDescent="0.2">
      <c r="A22" s="3"/>
      <c r="B22" s="3" t="s">
        <v>654</v>
      </c>
      <c r="C22" s="935">
        <v>1735</v>
      </c>
      <c r="D22" s="935">
        <v>0</v>
      </c>
      <c r="E22" s="935">
        <v>0</v>
      </c>
      <c r="F22" s="935">
        <v>0</v>
      </c>
      <c r="G22" s="935">
        <v>0</v>
      </c>
      <c r="H22" s="935">
        <v>0</v>
      </c>
      <c r="I22" s="935">
        <v>0</v>
      </c>
      <c r="J22" s="935">
        <v>0</v>
      </c>
      <c r="K22" s="935">
        <v>0</v>
      </c>
      <c r="L22" s="935">
        <v>0</v>
      </c>
      <c r="M22" s="935">
        <v>0</v>
      </c>
      <c r="N22" s="935">
        <v>0</v>
      </c>
      <c r="O22" s="935">
        <v>0</v>
      </c>
      <c r="P22" s="935">
        <v>0</v>
      </c>
      <c r="Q22" s="935">
        <v>0</v>
      </c>
      <c r="R22" s="935">
        <v>0</v>
      </c>
      <c r="S22" s="935">
        <v>0</v>
      </c>
      <c r="T22" s="935">
        <v>0</v>
      </c>
      <c r="U22" s="935" t="str">
        <f t="shared" si="0"/>
        <v>After School Program Fees</v>
      </c>
      <c r="V22" s="939">
        <f t="shared" si="3"/>
        <v>1735</v>
      </c>
    </row>
    <row r="23" spans="1:22" s="37" customFormat="1" hidden="1" x14ac:dyDescent="0.2">
      <c r="A23" s="3"/>
      <c r="B23" s="3" t="s">
        <v>552</v>
      </c>
      <c r="C23" s="935">
        <v>0</v>
      </c>
      <c r="D23" s="935">
        <v>0</v>
      </c>
      <c r="E23" s="935">
        <v>0</v>
      </c>
      <c r="F23" s="935">
        <v>0</v>
      </c>
      <c r="G23" s="935">
        <v>0</v>
      </c>
      <c r="H23" s="935">
        <v>0</v>
      </c>
      <c r="I23" s="935">
        <v>0</v>
      </c>
      <c r="J23" s="935">
        <v>0</v>
      </c>
      <c r="K23" s="935">
        <v>0</v>
      </c>
      <c r="L23" s="935">
        <v>0</v>
      </c>
      <c r="M23" s="935">
        <v>0</v>
      </c>
      <c r="N23" s="935">
        <v>0</v>
      </c>
      <c r="O23" s="935">
        <v>0</v>
      </c>
      <c r="P23" s="935">
        <v>0</v>
      </c>
      <c r="Q23" s="935">
        <v>0</v>
      </c>
      <c r="R23" s="935">
        <v>0</v>
      </c>
      <c r="S23" s="935">
        <v>0</v>
      </c>
      <c r="T23" s="935">
        <v>0</v>
      </c>
      <c r="U23" s="935" t="str">
        <f t="shared" si="0"/>
        <v>Direct District Activities Revenue</v>
      </c>
      <c r="V23" s="939">
        <f t="shared" si="1"/>
        <v>0</v>
      </c>
    </row>
    <row r="24" spans="1:22" s="37" customFormat="1" x14ac:dyDescent="0.2">
      <c r="A24" s="3"/>
      <c r="B24" s="3" t="s">
        <v>286</v>
      </c>
      <c r="C24" s="935">
        <v>0</v>
      </c>
      <c r="D24" s="935">
        <v>0</v>
      </c>
      <c r="E24" s="935">
        <v>0</v>
      </c>
      <c r="F24" s="935">
        <v>0</v>
      </c>
      <c r="G24" s="935">
        <v>0</v>
      </c>
      <c r="H24" s="935">
        <v>0</v>
      </c>
      <c r="I24" s="935">
        <v>0</v>
      </c>
      <c r="J24" s="935">
        <v>0</v>
      </c>
      <c r="K24" s="935">
        <v>0</v>
      </c>
      <c r="L24" s="935">
        <v>0</v>
      </c>
      <c r="M24" s="935">
        <v>105000</v>
      </c>
      <c r="N24" s="935">
        <v>0</v>
      </c>
      <c r="O24" s="935">
        <v>0</v>
      </c>
      <c r="P24" s="935">
        <v>0</v>
      </c>
      <c r="Q24" s="935">
        <v>0</v>
      </c>
      <c r="R24" s="935">
        <v>0</v>
      </c>
      <c r="S24" s="935">
        <v>0</v>
      </c>
      <c r="T24" s="935">
        <v>0</v>
      </c>
      <c r="U24" s="935" t="str">
        <f t="shared" si="0"/>
        <v>Daily Sales - Food Services</v>
      </c>
      <c r="V24" s="939">
        <f t="shared" si="1"/>
        <v>105000</v>
      </c>
    </row>
    <row r="25" spans="1:22" s="37" customFormat="1" x14ac:dyDescent="0.2">
      <c r="A25" s="3">
        <v>1900</v>
      </c>
      <c r="B25" s="3" t="s">
        <v>280</v>
      </c>
      <c r="C25" s="935">
        <v>0</v>
      </c>
      <c r="D25" s="935">
        <v>0</v>
      </c>
      <c r="E25" s="935">
        <f>8215+20000+1000</f>
        <v>29215</v>
      </c>
      <c r="F25" s="935">
        <v>0</v>
      </c>
      <c r="G25" s="935">
        <v>0</v>
      </c>
      <c r="H25" s="935">
        <v>0</v>
      </c>
      <c r="I25" s="935">
        <v>0</v>
      </c>
      <c r="J25" s="935">
        <v>0</v>
      </c>
      <c r="K25" s="935">
        <v>0</v>
      </c>
      <c r="L25" s="935">
        <v>0</v>
      </c>
      <c r="M25" s="935">
        <v>0</v>
      </c>
      <c r="N25" s="935">
        <v>0</v>
      </c>
      <c r="O25" s="935">
        <v>0</v>
      </c>
      <c r="P25" s="935">
        <v>81446</v>
      </c>
      <c r="Q25" s="935">
        <v>0</v>
      </c>
      <c r="R25" s="935">
        <v>0</v>
      </c>
      <c r="S25" s="935">
        <v>1320400</v>
      </c>
      <c r="T25" s="935">
        <v>0</v>
      </c>
      <c r="U25" s="935" t="str">
        <f t="shared" si="0"/>
        <v>Other Revenues</v>
      </c>
      <c r="V25" s="939">
        <f t="shared" si="1"/>
        <v>1431061</v>
      </c>
    </row>
    <row r="26" spans="1:22" s="37" customFormat="1" x14ac:dyDescent="0.2">
      <c r="A26" s="3"/>
      <c r="B26" s="3" t="s">
        <v>288</v>
      </c>
      <c r="C26" s="935">
        <v>340227</v>
      </c>
      <c r="D26" s="935">
        <v>0</v>
      </c>
      <c r="E26" s="935">
        <f>850+30000</f>
        <v>30850</v>
      </c>
      <c r="F26" s="935">
        <v>0</v>
      </c>
      <c r="G26" s="935">
        <v>0</v>
      </c>
      <c r="H26" s="935">
        <v>0</v>
      </c>
      <c r="I26" s="935">
        <v>0</v>
      </c>
      <c r="J26" s="935">
        <v>0</v>
      </c>
      <c r="K26" s="935">
        <v>0</v>
      </c>
      <c r="L26" s="935">
        <v>0</v>
      </c>
      <c r="M26" s="935">
        <v>0</v>
      </c>
      <c r="N26" s="935">
        <v>0</v>
      </c>
      <c r="O26" s="935">
        <v>0</v>
      </c>
      <c r="P26" s="935">
        <v>0</v>
      </c>
      <c r="Q26" s="935">
        <v>0</v>
      </c>
      <c r="R26" s="935">
        <v>0</v>
      </c>
      <c r="S26" s="935">
        <v>0</v>
      </c>
      <c r="T26" s="935">
        <v>0</v>
      </c>
      <c r="U26" s="935" t="str">
        <f t="shared" si="0"/>
        <v>Donations</v>
      </c>
      <c r="V26" s="939">
        <f t="shared" si="1"/>
        <v>371077</v>
      </c>
    </row>
    <row r="27" spans="1:22" s="37" customFormat="1" x14ac:dyDescent="0.2">
      <c r="A27" s="3"/>
      <c r="B27" s="3" t="s">
        <v>655</v>
      </c>
      <c r="C27" s="935">
        <v>250</v>
      </c>
      <c r="D27" s="935">
        <v>0</v>
      </c>
      <c r="E27" s="935">
        <v>0</v>
      </c>
      <c r="F27" s="935">
        <v>0</v>
      </c>
      <c r="G27" s="935">
        <v>0</v>
      </c>
      <c r="H27" s="935">
        <v>0</v>
      </c>
      <c r="I27" s="935">
        <v>0</v>
      </c>
      <c r="J27" s="935">
        <v>0</v>
      </c>
      <c r="K27" s="935">
        <v>0</v>
      </c>
      <c r="L27" s="935">
        <v>0</v>
      </c>
      <c r="M27" s="935">
        <v>0</v>
      </c>
      <c r="N27" s="935">
        <v>0</v>
      </c>
      <c r="O27" s="935">
        <v>0</v>
      </c>
      <c r="P27" s="935">
        <v>0</v>
      </c>
      <c r="Q27" s="935">
        <v>0</v>
      </c>
      <c r="R27" s="935">
        <v>0</v>
      </c>
      <c r="S27" s="935">
        <v>0</v>
      </c>
      <c r="T27" s="935">
        <v>0</v>
      </c>
      <c r="U27" s="935" t="str">
        <f t="shared" si="0"/>
        <v>Wells Fargo Employment Donations</v>
      </c>
      <c r="V27" s="939">
        <f>SUM(C27:T27)</f>
        <v>250</v>
      </c>
    </row>
    <row r="28" spans="1:22" s="37" customFormat="1" hidden="1" x14ac:dyDescent="0.2">
      <c r="A28" s="3"/>
      <c r="B28" s="3" t="s">
        <v>598</v>
      </c>
      <c r="C28" s="935">
        <v>0</v>
      </c>
      <c r="D28" s="935">
        <v>0</v>
      </c>
      <c r="E28" s="935">
        <v>0</v>
      </c>
      <c r="F28" s="935">
        <v>0</v>
      </c>
      <c r="G28" s="935">
        <v>0</v>
      </c>
      <c r="H28" s="935">
        <v>0</v>
      </c>
      <c r="I28" s="935">
        <v>0</v>
      </c>
      <c r="J28" s="935">
        <v>0</v>
      </c>
      <c r="K28" s="935">
        <v>0</v>
      </c>
      <c r="L28" s="935">
        <v>0</v>
      </c>
      <c r="M28" s="935">
        <v>0</v>
      </c>
      <c r="N28" s="935">
        <v>0</v>
      </c>
      <c r="O28" s="935">
        <v>0</v>
      </c>
      <c r="P28" s="935">
        <v>0</v>
      </c>
      <c r="Q28" s="935">
        <v>0</v>
      </c>
      <c r="R28" s="935">
        <v>0</v>
      </c>
      <c r="S28" s="935">
        <v>0</v>
      </c>
      <c r="T28" s="935">
        <v>0</v>
      </c>
      <c r="U28" s="935" t="str">
        <f t="shared" si="0"/>
        <v>Services Provided Other Govts</v>
      </c>
      <c r="V28" s="939">
        <f t="shared" si="1"/>
        <v>0</v>
      </c>
    </row>
    <row r="29" spans="1:22" s="37" customFormat="1" x14ac:dyDescent="0.2">
      <c r="A29" s="3"/>
      <c r="B29" s="3" t="s">
        <v>289</v>
      </c>
      <c r="C29" s="935">
        <v>510</v>
      </c>
      <c r="D29" s="935">
        <v>0</v>
      </c>
      <c r="E29" s="935">
        <v>0</v>
      </c>
      <c r="F29" s="935">
        <v>0</v>
      </c>
      <c r="G29" s="935">
        <v>0</v>
      </c>
      <c r="H29" s="935">
        <v>0</v>
      </c>
      <c r="I29" s="935">
        <v>0</v>
      </c>
      <c r="J29" s="935">
        <v>0</v>
      </c>
      <c r="K29" s="935">
        <v>0</v>
      </c>
      <c r="L29" s="935">
        <v>0</v>
      </c>
      <c r="M29" s="935">
        <v>0</v>
      </c>
      <c r="N29" s="935">
        <v>0</v>
      </c>
      <c r="O29" s="935">
        <v>0</v>
      </c>
      <c r="P29" s="935">
        <v>0</v>
      </c>
      <c r="Q29" s="935">
        <v>0</v>
      </c>
      <c r="R29" s="935">
        <v>0</v>
      </c>
      <c r="S29" s="935">
        <v>0</v>
      </c>
      <c r="T29" s="935">
        <v>0</v>
      </c>
      <c r="U29" s="935" t="str">
        <f t="shared" si="0"/>
        <v>Miscellaneous</v>
      </c>
      <c r="V29" s="939">
        <f t="shared" si="1"/>
        <v>510</v>
      </c>
    </row>
    <row r="30" spans="1:22" s="37" customFormat="1" x14ac:dyDescent="0.2">
      <c r="A30" s="3"/>
      <c r="B30" s="3" t="s">
        <v>656</v>
      </c>
      <c r="C30" s="935">
        <v>2500</v>
      </c>
      <c r="D30" s="935">
        <v>0</v>
      </c>
      <c r="E30" s="935">
        <v>0</v>
      </c>
      <c r="F30" s="935">
        <v>0</v>
      </c>
      <c r="G30" s="935">
        <v>0</v>
      </c>
      <c r="H30" s="935">
        <v>0</v>
      </c>
      <c r="I30" s="935">
        <v>0</v>
      </c>
      <c r="J30" s="935">
        <v>0</v>
      </c>
      <c r="K30" s="935">
        <v>0</v>
      </c>
      <c r="L30" s="935">
        <v>0</v>
      </c>
      <c r="M30" s="935">
        <v>0</v>
      </c>
      <c r="N30" s="935">
        <v>0</v>
      </c>
      <c r="O30" s="935">
        <v>0</v>
      </c>
      <c r="P30" s="935">
        <v>0</v>
      </c>
      <c r="Q30" s="935">
        <v>0</v>
      </c>
      <c r="R30" s="935">
        <v>0</v>
      </c>
      <c r="S30" s="935">
        <v>0</v>
      </c>
      <c r="T30" s="935">
        <v>0</v>
      </c>
      <c r="U30" s="935" t="str">
        <f>B30</f>
        <v>Use of Buildings</v>
      </c>
      <c r="V30" s="939">
        <f>SUM(C30:T30)</f>
        <v>2500</v>
      </c>
    </row>
    <row r="31" spans="1:22" s="37" customFormat="1" hidden="1" x14ac:dyDescent="0.2">
      <c r="A31" s="3"/>
      <c r="B31" s="3" t="s">
        <v>290</v>
      </c>
      <c r="C31" s="935">
        <v>0</v>
      </c>
      <c r="D31" s="935">
        <v>0</v>
      </c>
      <c r="E31" s="935">
        <v>0</v>
      </c>
      <c r="F31" s="935">
        <v>0</v>
      </c>
      <c r="G31" s="935">
        <v>0</v>
      </c>
      <c r="H31" s="935">
        <v>0</v>
      </c>
      <c r="I31" s="935">
        <v>0</v>
      </c>
      <c r="J31" s="935">
        <v>0</v>
      </c>
      <c r="K31" s="935">
        <v>0</v>
      </c>
      <c r="L31" s="935">
        <v>0</v>
      </c>
      <c r="M31" s="935">
        <v>0</v>
      </c>
      <c r="N31" s="935">
        <v>0</v>
      </c>
      <c r="O31" s="935">
        <v>0</v>
      </c>
      <c r="P31" s="935">
        <v>0</v>
      </c>
      <c r="Q31" s="935">
        <v>0</v>
      </c>
      <c r="R31" s="935">
        <v>0</v>
      </c>
      <c r="S31" s="935">
        <v>0</v>
      </c>
      <c r="T31" s="935">
        <v>0</v>
      </c>
      <c r="U31" s="935" t="str">
        <f t="shared" si="0"/>
        <v>Indirect Costs</v>
      </c>
      <c r="V31" s="939">
        <f t="shared" si="1"/>
        <v>0</v>
      </c>
    </row>
    <row r="32" spans="1:22" hidden="1" x14ac:dyDescent="0.2"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05"/>
      <c r="V32" s="905"/>
    </row>
    <row r="33" spans="1:23" s="2" customFormat="1" x14ac:dyDescent="0.2">
      <c r="B33" s="39" t="s">
        <v>124</v>
      </c>
      <c r="C33" s="931">
        <f t="shared" ref="C33:T33" si="4">SUM(C4:C32)</f>
        <v>15823527</v>
      </c>
      <c r="D33" s="931">
        <f t="shared" si="4"/>
        <v>0</v>
      </c>
      <c r="E33" s="931">
        <f t="shared" si="4"/>
        <v>60065</v>
      </c>
      <c r="F33" s="931">
        <f t="shared" si="4"/>
        <v>0</v>
      </c>
      <c r="G33" s="931">
        <f t="shared" si="4"/>
        <v>0</v>
      </c>
      <c r="H33" s="931">
        <f t="shared" si="4"/>
        <v>0</v>
      </c>
      <c r="I33" s="931">
        <f t="shared" si="4"/>
        <v>0</v>
      </c>
      <c r="J33" s="931">
        <f t="shared" si="4"/>
        <v>0</v>
      </c>
      <c r="K33" s="931">
        <f t="shared" si="4"/>
        <v>19250</v>
      </c>
      <c r="L33" s="931">
        <f t="shared" si="4"/>
        <v>0</v>
      </c>
      <c r="M33" s="931">
        <f t="shared" si="4"/>
        <v>105000</v>
      </c>
      <c r="N33" s="931">
        <f t="shared" si="4"/>
        <v>0</v>
      </c>
      <c r="O33" s="931">
        <f t="shared" si="4"/>
        <v>0</v>
      </c>
      <c r="P33" s="931">
        <f t="shared" si="4"/>
        <v>326446</v>
      </c>
      <c r="Q33" s="931">
        <f t="shared" si="4"/>
        <v>12700</v>
      </c>
      <c r="R33" s="931">
        <f t="shared" si="4"/>
        <v>0</v>
      </c>
      <c r="S33" s="931">
        <f t="shared" si="4"/>
        <v>1342400</v>
      </c>
      <c r="T33" s="931">
        <f t="shared" si="4"/>
        <v>0</v>
      </c>
      <c r="U33" s="930">
        <f>SUM(C33:T33)</f>
        <v>17689388</v>
      </c>
      <c r="V33" s="903"/>
      <c r="W33" s="20">
        <f>SUM(W5:W32)</f>
        <v>15438680</v>
      </c>
    </row>
    <row r="34" spans="1:23" x14ac:dyDescent="0.2">
      <c r="B34" s="550"/>
      <c r="C34" s="935"/>
      <c r="D34" s="935"/>
      <c r="E34" s="935"/>
      <c r="F34" s="935"/>
      <c r="G34" s="935"/>
      <c r="H34" s="935"/>
      <c r="I34" s="935"/>
      <c r="J34" s="935"/>
      <c r="K34" s="935"/>
      <c r="L34" s="935"/>
      <c r="M34" s="935"/>
      <c r="N34" s="935"/>
      <c r="O34" s="935"/>
      <c r="P34" s="935"/>
      <c r="Q34" s="935"/>
      <c r="R34" s="935"/>
      <c r="S34" s="935"/>
      <c r="T34" s="935"/>
      <c r="U34" s="939"/>
      <c r="V34" s="905"/>
    </row>
    <row r="35" spans="1:23" hidden="1" x14ac:dyDescent="0.2">
      <c r="B35" s="3" t="s">
        <v>291</v>
      </c>
      <c r="C35" s="937">
        <v>0</v>
      </c>
      <c r="D35" s="937">
        <v>0</v>
      </c>
      <c r="E35" s="937">
        <v>0</v>
      </c>
      <c r="F35" s="937">
        <v>0</v>
      </c>
      <c r="G35" s="937">
        <v>0</v>
      </c>
      <c r="H35" s="937">
        <v>0</v>
      </c>
      <c r="I35" s="937">
        <v>0</v>
      </c>
      <c r="J35" s="937">
        <v>0</v>
      </c>
      <c r="K35" s="937">
        <v>0</v>
      </c>
      <c r="L35" s="937">
        <v>0</v>
      </c>
      <c r="M35" s="937">
        <v>0</v>
      </c>
      <c r="N35" s="937">
        <v>0</v>
      </c>
      <c r="O35" s="937">
        <v>0</v>
      </c>
      <c r="P35" s="937">
        <v>0</v>
      </c>
      <c r="Q35" s="937">
        <v>0</v>
      </c>
      <c r="R35" s="937">
        <v>0</v>
      </c>
      <c r="S35" s="937">
        <v>0</v>
      </c>
      <c r="T35" s="937">
        <v>0</v>
      </c>
      <c r="U35" s="938" t="str">
        <f t="shared" ref="U35:U44" si="5">B35</f>
        <v>Distributive School Fund (DSA)</v>
      </c>
      <c r="V35" s="938">
        <f t="shared" ref="V35:V44" si="6">SUM(C35:T35)</f>
        <v>0</v>
      </c>
    </row>
    <row r="36" spans="1:23" hidden="1" x14ac:dyDescent="0.2">
      <c r="B36" s="3" t="s">
        <v>292</v>
      </c>
      <c r="C36" s="937">
        <v>0</v>
      </c>
      <c r="D36" s="937">
        <v>0</v>
      </c>
      <c r="E36" s="937">
        <v>0</v>
      </c>
      <c r="F36" s="937">
        <v>0</v>
      </c>
      <c r="G36" s="937">
        <v>0</v>
      </c>
      <c r="H36" s="937">
        <v>0</v>
      </c>
      <c r="I36" s="937">
        <v>0</v>
      </c>
      <c r="J36" s="937">
        <v>0</v>
      </c>
      <c r="K36" s="937">
        <v>0</v>
      </c>
      <c r="L36" s="937">
        <v>0</v>
      </c>
      <c r="M36" s="937">
        <v>0</v>
      </c>
      <c r="N36" s="937">
        <v>0</v>
      </c>
      <c r="O36" s="937">
        <v>0</v>
      </c>
      <c r="P36" s="937">
        <v>0</v>
      </c>
      <c r="Q36" s="937">
        <v>0</v>
      </c>
      <c r="R36" s="937">
        <v>0</v>
      </c>
      <c r="S36" s="937">
        <v>0</v>
      </c>
      <c r="T36" s="937">
        <v>0</v>
      </c>
      <c r="U36" s="938" t="str">
        <f t="shared" si="5"/>
        <v>DSA Charter Reduction-Outside Revs</v>
      </c>
      <c r="V36" s="938">
        <f t="shared" si="6"/>
        <v>0</v>
      </c>
    </row>
    <row r="37" spans="1:23" x14ac:dyDescent="0.2">
      <c r="B37" s="3" t="s">
        <v>293</v>
      </c>
      <c r="C37" s="937">
        <v>0</v>
      </c>
      <c r="D37" s="937">
        <v>0</v>
      </c>
      <c r="E37" s="937">
        <v>0</v>
      </c>
      <c r="F37" s="937">
        <v>0</v>
      </c>
      <c r="G37" s="937">
        <v>0</v>
      </c>
      <c r="H37" s="937">
        <v>0</v>
      </c>
      <c r="I37" s="937">
        <v>0</v>
      </c>
      <c r="J37" s="937">
        <v>682727</v>
      </c>
      <c r="K37" s="937">
        <v>0</v>
      </c>
      <c r="L37" s="937">
        <v>0</v>
      </c>
      <c r="M37" s="937">
        <v>0</v>
      </c>
      <c r="N37" s="937">
        <v>0</v>
      </c>
      <c r="O37" s="937">
        <v>0</v>
      </c>
      <c r="P37" s="937">
        <v>0</v>
      </c>
      <c r="Q37" s="937">
        <v>0</v>
      </c>
      <c r="R37" s="937">
        <v>0</v>
      </c>
      <c r="S37" s="937">
        <v>0</v>
      </c>
      <c r="T37" s="937">
        <v>0</v>
      </c>
      <c r="U37" s="938" t="str">
        <f t="shared" si="5"/>
        <v>Special Education - DSA Funding</v>
      </c>
      <c r="V37" s="938">
        <f t="shared" si="6"/>
        <v>682727</v>
      </c>
    </row>
    <row r="38" spans="1:23" hidden="1" x14ac:dyDescent="0.2">
      <c r="B38" s="3" t="s">
        <v>475</v>
      </c>
      <c r="C38" s="937">
        <v>0</v>
      </c>
      <c r="D38" s="937">
        <v>0</v>
      </c>
      <c r="E38" s="937">
        <v>0</v>
      </c>
      <c r="F38" s="937">
        <v>0</v>
      </c>
      <c r="G38" s="937">
        <v>0</v>
      </c>
      <c r="H38" s="937">
        <v>0</v>
      </c>
      <c r="I38" s="937">
        <v>0</v>
      </c>
      <c r="J38" s="937">
        <v>0</v>
      </c>
      <c r="K38" s="937">
        <v>0</v>
      </c>
      <c r="L38" s="937">
        <v>0</v>
      </c>
      <c r="M38" s="937">
        <v>0</v>
      </c>
      <c r="N38" s="937">
        <v>0</v>
      </c>
      <c r="O38" s="937">
        <v>0</v>
      </c>
      <c r="P38" s="937">
        <v>0</v>
      </c>
      <c r="Q38" s="937">
        <v>0</v>
      </c>
      <c r="R38" s="937">
        <v>0</v>
      </c>
      <c r="S38" s="937">
        <v>0</v>
      </c>
      <c r="T38" s="937">
        <v>0</v>
      </c>
      <c r="U38" s="938" t="str">
        <f t="shared" si="5"/>
        <v>Counseling - DSA Funding</v>
      </c>
      <c r="V38" s="938">
        <f t="shared" si="6"/>
        <v>0</v>
      </c>
    </row>
    <row r="39" spans="1:23" hidden="1" x14ac:dyDescent="0.2">
      <c r="B39" s="3" t="s">
        <v>294</v>
      </c>
      <c r="C39" s="937">
        <v>0</v>
      </c>
      <c r="D39" s="937">
        <v>0</v>
      </c>
      <c r="E39" s="937">
        <v>0</v>
      </c>
      <c r="F39" s="937">
        <v>0</v>
      </c>
      <c r="G39" s="937">
        <v>0</v>
      </c>
      <c r="H39" s="937">
        <v>0</v>
      </c>
      <c r="I39" s="937">
        <v>0</v>
      </c>
      <c r="J39" s="937">
        <v>0</v>
      </c>
      <c r="K39" s="937">
        <v>0</v>
      </c>
      <c r="L39" s="937">
        <v>0</v>
      </c>
      <c r="M39" s="937">
        <v>0</v>
      </c>
      <c r="N39" s="937">
        <v>0</v>
      </c>
      <c r="O39" s="937">
        <v>0</v>
      </c>
      <c r="P39" s="937">
        <v>0</v>
      </c>
      <c r="Q39" s="937">
        <v>0</v>
      </c>
      <c r="R39" s="937">
        <v>0</v>
      </c>
      <c r="S39" s="937">
        <v>0</v>
      </c>
      <c r="T39" s="937">
        <v>0</v>
      </c>
      <c r="U39" s="938" t="str">
        <f t="shared" si="5"/>
        <v>State Food Aid</v>
      </c>
      <c r="V39" s="938">
        <f t="shared" si="6"/>
        <v>0</v>
      </c>
    </row>
    <row r="40" spans="1:23" x14ac:dyDescent="0.2">
      <c r="B40" s="3" t="s">
        <v>295</v>
      </c>
      <c r="C40" s="937">
        <v>0</v>
      </c>
      <c r="D40" s="937">
        <v>0</v>
      </c>
      <c r="E40" s="937">
        <v>0</v>
      </c>
      <c r="F40" s="937">
        <v>0</v>
      </c>
      <c r="G40" s="937">
        <v>0</v>
      </c>
      <c r="H40" s="937">
        <v>0</v>
      </c>
      <c r="I40" s="937">
        <v>1031414</v>
      </c>
      <c r="J40" s="937">
        <v>0</v>
      </c>
      <c r="K40" s="937">
        <v>0</v>
      </c>
      <c r="L40" s="937">
        <v>0</v>
      </c>
      <c r="M40" s="937">
        <v>0</v>
      </c>
      <c r="N40" s="937">
        <v>0</v>
      </c>
      <c r="O40" s="937">
        <v>0</v>
      </c>
      <c r="P40" s="937">
        <v>0</v>
      </c>
      <c r="Q40" s="937">
        <v>0</v>
      </c>
      <c r="R40" s="937">
        <v>0</v>
      </c>
      <c r="S40" s="937">
        <v>0</v>
      </c>
      <c r="T40" s="937">
        <v>0</v>
      </c>
      <c r="U40" s="938" t="str">
        <f t="shared" si="5"/>
        <v>Restricted Funding/Grants-in-aid rev</v>
      </c>
      <c r="V40" s="938">
        <f t="shared" si="6"/>
        <v>1031414</v>
      </c>
    </row>
    <row r="41" spans="1:23" x14ac:dyDescent="0.2">
      <c r="B41" s="3" t="s">
        <v>657</v>
      </c>
      <c r="C41" s="937">
        <v>0</v>
      </c>
      <c r="D41" s="937">
        <v>0</v>
      </c>
      <c r="E41" s="937">
        <v>0</v>
      </c>
      <c r="F41" s="937">
        <v>0</v>
      </c>
      <c r="G41" s="937">
        <v>0</v>
      </c>
      <c r="H41" s="937">
        <v>61190</v>
      </c>
      <c r="I41" s="937">
        <v>0</v>
      </c>
      <c r="J41" s="937">
        <v>0</v>
      </c>
      <c r="K41" s="937">
        <v>0</v>
      </c>
      <c r="L41" s="937">
        <v>0</v>
      </c>
      <c r="M41" s="937">
        <v>0</v>
      </c>
      <c r="N41" s="937">
        <v>0</v>
      </c>
      <c r="O41" s="937">
        <v>0</v>
      </c>
      <c r="P41" s="937">
        <v>0</v>
      </c>
      <c r="Q41" s="937">
        <v>0</v>
      </c>
      <c r="R41" s="937">
        <v>0</v>
      </c>
      <c r="S41" s="937">
        <v>0</v>
      </c>
      <c r="T41" s="937">
        <v>0</v>
      </c>
      <c r="U41" s="938" t="str">
        <f t="shared" si="5"/>
        <v>Adult Education - State</v>
      </c>
      <c r="V41" s="938">
        <f t="shared" si="6"/>
        <v>61190</v>
      </c>
    </row>
    <row r="42" spans="1:23" x14ac:dyDescent="0.2">
      <c r="B42" s="3" t="s">
        <v>553</v>
      </c>
      <c r="C42" s="937">
        <v>0</v>
      </c>
      <c r="D42" s="937">
        <v>0</v>
      </c>
      <c r="E42" s="937">
        <v>0</v>
      </c>
      <c r="F42" s="937">
        <v>58800</v>
      </c>
      <c r="G42" s="937">
        <v>0</v>
      </c>
      <c r="H42" s="937">
        <v>0</v>
      </c>
      <c r="I42" s="937">
        <v>0</v>
      </c>
      <c r="J42" s="937">
        <v>0</v>
      </c>
      <c r="K42" s="937">
        <v>0</v>
      </c>
      <c r="L42" s="937">
        <v>0</v>
      </c>
      <c r="M42" s="937">
        <v>0</v>
      </c>
      <c r="N42" s="937">
        <v>0</v>
      </c>
      <c r="O42" s="937">
        <v>0</v>
      </c>
      <c r="P42" s="937">
        <v>0</v>
      </c>
      <c r="Q42" s="937">
        <v>0</v>
      </c>
      <c r="R42" s="937">
        <v>0</v>
      </c>
      <c r="S42" s="937">
        <v>0</v>
      </c>
      <c r="T42" s="937">
        <v>0</v>
      </c>
      <c r="U42" s="938" t="str">
        <f t="shared" si="5"/>
        <v>SB 178 NV Education Fund Plan</v>
      </c>
      <c r="V42" s="938">
        <f t="shared" si="6"/>
        <v>58800</v>
      </c>
    </row>
    <row r="43" spans="1:23" x14ac:dyDescent="0.2">
      <c r="B43" s="3" t="s">
        <v>191</v>
      </c>
      <c r="C43" s="937">
        <v>0</v>
      </c>
      <c r="D43" s="937">
        <v>0</v>
      </c>
      <c r="E43" s="937">
        <v>0</v>
      </c>
      <c r="F43" s="937">
        <v>0</v>
      </c>
      <c r="G43" s="937">
        <v>161731</v>
      </c>
      <c r="H43" s="937">
        <v>0</v>
      </c>
      <c r="I43" s="937">
        <v>0</v>
      </c>
      <c r="J43" s="937">
        <v>0</v>
      </c>
      <c r="K43" s="937">
        <v>0</v>
      </c>
      <c r="L43" s="937">
        <v>0</v>
      </c>
      <c r="M43" s="937">
        <v>0</v>
      </c>
      <c r="N43" s="937">
        <v>0</v>
      </c>
      <c r="O43" s="937">
        <v>0</v>
      </c>
      <c r="P43" s="937">
        <v>0</v>
      </c>
      <c r="Q43" s="937">
        <v>0</v>
      </c>
      <c r="R43" s="937">
        <v>0</v>
      </c>
      <c r="S43" s="937">
        <v>0</v>
      </c>
      <c r="T43" s="937">
        <v>0</v>
      </c>
      <c r="U43" s="938" t="str">
        <f t="shared" si="5"/>
        <v>Class Size Reduction</v>
      </c>
      <c r="V43" s="938">
        <f t="shared" si="6"/>
        <v>161731</v>
      </c>
    </row>
    <row r="44" spans="1:23" hidden="1" x14ac:dyDescent="0.2">
      <c r="B44" s="3" t="s">
        <v>386</v>
      </c>
      <c r="C44" s="937">
        <v>0</v>
      </c>
      <c r="D44" s="937">
        <v>0</v>
      </c>
      <c r="E44" s="937">
        <v>0</v>
      </c>
      <c r="F44" s="937">
        <v>0</v>
      </c>
      <c r="G44" s="937">
        <v>0</v>
      </c>
      <c r="H44" s="937">
        <v>0</v>
      </c>
      <c r="I44" s="937">
        <v>0</v>
      </c>
      <c r="J44" s="937">
        <v>0</v>
      </c>
      <c r="K44" s="937">
        <v>0</v>
      </c>
      <c r="L44" s="937">
        <v>0</v>
      </c>
      <c r="M44" s="937">
        <v>0</v>
      </c>
      <c r="N44" s="937">
        <v>0</v>
      </c>
      <c r="O44" s="937">
        <v>0</v>
      </c>
      <c r="P44" s="937">
        <v>0</v>
      </c>
      <c r="Q44" s="937">
        <v>0</v>
      </c>
      <c r="R44" s="937">
        <v>0</v>
      </c>
      <c r="S44" s="937">
        <v>0</v>
      </c>
      <c r="T44" s="937">
        <v>0</v>
      </c>
      <c r="U44" s="938" t="str">
        <f t="shared" si="5"/>
        <v>For/on behalf of School District</v>
      </c>
      <c r="V44" s="938">
        <f t="shared" si="6"/>
        <v>0</v>
      </c>
    </row>
    <row r="45" spans="1:23" hidden="1" x14ac:dyDescent="0.2"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937"/>
      <c r="T45" s="938"/>
      <c r="U45" s="938"/>
      <c r="V45" s="905"/>
    </row>
    <row r="46" spans="1:23" s="2" customFormat="1" x14ac:dyDescent="0.2">
      <c r="B46" s="39" t="s">
        <v>125</v>
      </c>
      <c r="C46" s="931">
        <f>SUM(C34:C45)</f>
        <v>0</v>
      </c>
      <c r="D46" s="931">
        <f t="shared" ref="D46:T46" si="7">SUM(D34:D45)</f>
        <v>0</v>
      </c>
      <c r="E46" s="931">
        <f t="shared" si="7"/>
        <v>0</v>
      </c>
      <c r="F46" s="931">
        <f t="shared" si="7"/>
        <v>58800</v>
      </c>
      <c r="G46" s="931">
        <f t="shared" si="7"/>
        <v>161731</v>
      </c>
      <c r="H46" s="931">
        <f t="shared" si="7"/>
        <v>61190</v>
      </c>
      <c r="I46" s="931">
        <f t="shared" si="7"/>
        <v>1031414</v>
      </c>
      <c r="J46" s="931">
        <f t="shared" si="7"/>
        <v>682727</v>
      </c>
      <c r="K46" s="931">
        <f t="shared" si="7"/>
        <v>0</v>
      </c>
      <c r="L46" s="931">
        <f t="shared" si="7"/>
        <v>0</v>
      </c>
      <c r="M46" s="931">
        <f t="shared" si="7"/>
        <v>0</v>
      </c>
      <c r="N46" s="931">
        <f t="shared" si="7"/>
        <v>0</v>
      </c>
      <c r="O46" s="931">
        <f t="shared" si="7"/>
        <v>0</v>
      </c>
      <c r="P46" s="931">
        <f t="shared" si="7"/>
        <v>0</v>
      </c>
      <c r="Q46" s="931">
        <f t="shared" si="7"/>
        <v>0</v>
      </c>
      <c r="R46" s="931">
        <f t="shared" si="7"/>
        <v>0</v>
      </c>
      <c r="S46" s="931">
        <f t="shared" si="7"/>
        <v>0</v>
      </c>
      <c r="T46" s="931">
        <f t="shared" si="7"/>
        <v>0</v>
      </c>
      <c r="U46" s="930">
        <f t="shared" ref="U46:U67" si="8">SUM(C46:T46)</f>
        <v>1995862</v>
      </c>
      <c r="V46" s="903"/>
    </row>
    <row r="47" spans="1:23" x14ac:dyDescent="0.2">
      <c r="B47" s="550"/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939"/>
      <c r="V47" s="905"/>
    </row>
    <row r="48" spans="1:23" s="37" customFormat="1" x14ac:dyDescent="0.2">
      <c r="A48" s="2"/>
      <c r="B48" s="3" t="s">
        <v>658</v>
      </c>
      <c r="C48" s="937">
        <v>0</v>
      </c>
      <c r="D48" s="937">
        <v>0</v>
      </c>
      <c r="E48" s="937">
        <v>0</v>
      </c>
      <c r="F48" s="937">
        <v>0</v>
      </c>
      <c r="G48" s="937">
        <v>0</v>
      </c>
      <c r="H48" s="937">
        <v>0</v>
      </c>
      <c r="I48" s="937">
        <v>0</v>
      </c>
      <c r="J48" s="937">
        <v>0</v>
      </c>
      <c r="K48" s="937">
        <v>0</v>
      </c>
      <c r="L48" s="937">
        <v>0</v>
      </c>
      <c r="M48" s="937">
        <v>100000</v>
      </c>
      <c r="N48" s="937">
        <v>0</v>
      </c>
      <c r="O48" s="937">
        <v>0</v>
      </c>
      <c r="P48" s="937">
        <v>0</v>
      </c>
      <c r="Q48" s="937">
        <v>0</v>
      </c>
      <c r="R48" s="937">
        <v>0</v>
      </c>
      <c r="S48" s="937">
        <v>0</v>
      </c>
      <c r="T48" s="937">
        <v>0</v>
      </c>
      <c r="U48" s="938" t="str">
        <f t="shared" ref="U48:U58" si="9">B48</f>
        <v>Federal Lunch Reimbursement</v>
      </c>
      <c r="V48" s="938">
        <f t="shared" ref="V48:V58" si="10">SUM(C48:T48)</f>
        <v>100000</v>
      </c>
    </row>
    <row r="49" spans="1:22" s="37" customFormat="1" x14ac:dyDescent="0.2">
      <c r="A49" s="2"/>
      <c r="B49" s="3" t="s">
        <v>659</v>
      </c>
      <c r="C49" s="937">
        <v>25000</v>
      </c>
      <c r="D49" s="937">
        <v>0</v>
      </c>
      <c r="E49" s="937">
        <v>0</v>
      </c>
      <c r="F49" s="937">
        <v>0</v>
      </c>
      <c r="G49" s="937">
        <v>0</v>
      </c>
      <c r="H49" s="937">
        <v>0</v>
      </c>
      <c r="I49" s="937">
        <v>0</v>
      </c>
      <c r="J49" s="937">
        <v>0</v>
      </c>
      <c r="K49" s="937">
        <v>0</v>
      </c>
      <c r="L49" s="937">
        <v>0</v>
      </c>
      <c r="M49" s="937">
        <v>0</v>
      </c>
      <c r="N49" s="937">
        <v>0</v>
      </c>
      <c r="O49" s="937">
        <v>0</v>
      </c>
      <c r="P49" s="937">
        <v>0</v>
      </c>
      <c r="Q49" s="937">
        <v>0</v>
      </c>
      <c r="R49" s="937">
        <v>0</v>
      </c>
      <c r="S49" s="937">
        <v>0</v>
      </c>
      <c r="T49" s="937">
        <v>0</v>
      </c>
      <c r="U49" s="938" t="str">
        <f t="shared" si="9"/>
        <v>Forest Reserve</v>
      </c>
      <c r="V49" s="938">
        <f t="shared" si="10"/>
        <v>25000</v>
      </c>
    </row>
    <row r="50" spans="1:22" s="37" customFormat="1" x14ac:dyDescent="0.2">
      <c r="A50" s="2"/>
      <c r="B50" s="3" t="s">
        <v>660</v>
      </c>
      <c r="C50" s="937">
        <v>14168</v>
      </c>
      <c r="D50" s="937">
        <v>0</v>
      </c>
      <c r="E50" s="937">
        <v>0</v>
      </c>
      <c r="F50" s="937">
        <v>0</v>
      </c>
      <c r="G50" s="937">
        <v>0</v>
      </c>
      <c r="H50" s="937">
        <v>0</v>
      </c>
      <c r="I50" s="937">
        <v>0</v>
      </c>
      <c r="J50" s="937">
        <v>0</v>
      </c>
      <c r="K50" s="937">
        <v>0</v>
      </c>
      <c r="L50" s="937">
        <v>0</v>
      </c>
      <c r="M50" s="937">
        <v>0</v>
      </c>
      <c r="N50" s="937">
        <v>0</v>
      </c>
      <c r="O50" s="937">
        <v>0</v>
      </c>
      <c r="P50" s="937">
        <v>0</v>
      </c>
      <c r="Q50" s="937">
        <v>0</v>
      </c>
      <c r="R50" s="937">
        <v>0</v>
      </c>
      <c r="S50" s="937">
        <v>0</v>
      </c>
      <c r="T50" s="937">
        <v>0</v>
      </c>
      <c r="U50" s="938" t="str">
        <f t="shared" si="9"/>
        <v>Erate Funds</v>
      </c>
      <c r="V50" s="938">
        <f t="shared" si="10"/>
        <v>14168</v>
      </c>
    </row>
    <row r="51" spans="1:22" s="37" customFormat="1" hidden="1" x14ac:dyDescent="0.2">
      <c r="A51" s="2"/>
      <c r="B51" s="3" t="s">
        <v>297</v>
      </c>
      <c r="C51" s="937">
        <v>0</v>
      </c>
      <c r="D51" s="937">
        <v>0</v>
      </c>
      <c r="E51" s="937">
        <v>0</v>
      </c>
      <c r="F51" s="937">
        <v>0</v>
      </c>
      <c r="G51" s="937">
        <v>0</v>
      </c>
      <c r="H51" s="937">
        <v>0</v>
      </c>
      <c r="I51" s="937">
        <v>0</v>
      </c>
      <c r="J51" s="937">
        <v>0</v>
      </c>
      <c r="K51" s="937">
        <v>0</v>
      </c>
      <c r="L51" s="937">
        <v>0</v>
      </c>
      <c r="M51" s="937">
        <v>0</v>
      </c>
      <c r="N51" s="937">
        <v>0</v>
      </c>
      <c r="O51" s="937">
        <v>0</v>
      </c>
      <c r="P51" s="937">
        <v>0</v>
      </c>
      <c r="Q51" s="937">
        <v>0</v>
      </c>
      <c r="R51" s="937">
        <v>0</v>
      </c>
      <c r="S51" s="937">
        <v>0</v>
      </c>
      <c r="T51" s="937">
        <v>0</v>
      </c>
      <c r="U51" s="938" t="str">
        <f t="shared" si="9"/>
        <v>Medicaid SBCHS Reimbursement</v>
      </c>
      <c r="V51" s="938">
        <f t="shared" si="10"/>
        <v>0</v>
      </c>
    </row>
    <row r="52" spans="1:22" s="37" customFormat="1" hidden="1" x14ac:dyDescent="0.2">
      <c r="A52" s="2"/>
      <c r="B52" s="3" t="s">
        <v>390</v>
      </c>
      <c r="C52" s="937">
        <v>0</v>
      </c>
      <c r="D52" s="937">
        <v>0</v>
      </c>
      <c r="E52" s="937">
        <v>0</v>
      </c>
      <c r="F52" s="937">
        <v>0</v>
      </c>
      <c r="G52" s="937">
        <v>0</v>
      </c>
      <c r="H52" s="937">
        <v>0</v>
      </c>
      <c r="I52" s="937">
        <v>0</v>
      </c>
      <c r="J52" s="937">
        <v>0</v>
      </c>
      <c r="K52" s="937">
        <v>0</v>
      </c>
      <c r="L52" s="937">
        <v>0</v>
      </c>
      <c r="M52" s="937">
        <v>0</v>
      </c>
      <c r="N52" s="937">
        <v>0</v>
      </c>
      <c r="O52" s="937">
        <v>0</v>
      </c>
      <c r="P52" s="937">
        <v>0</v>
      </c>
      <c r="Q52" s="937">
        <v>0</v>
      </c>
      <c r="R52" s="937">
        <v>0</v>
      </c>
      <c r="S52" s="937">
        <v>0</v>
      </c>
      <c r="T52" s="937">
        <v>0</v>
      </c>
      <c r="U52" s="938" t="str">
        <f t="shared" si="9"/>
        <v>Unrestricted - Direct Fed Gov't</v>
      </c>
      <c r="V52" s="938">
        <f t="shared" si="10"/>
        <v>0</v>
      </c>
    </row>
    <row r="53" spans="1:22" s="37" customFormat="1" hidden="1" x14ac:dyDescent="0.2">
      <c r="A53" s="2"/>
      <c r="B53" s="3" t="s">
        <v>599</v>
      </c>
      <c r="C53" s="937">
        <v>0</v>
      </c>
      <c r="D53" s="937">
        <v>0</v>
      </c>
      <c r="E53" s="937">
        <v>0</v>
      </c>
      <c r="F53" s="937">
        <v>0</v>
      </c>
      <c r="G53" s="937">
        <v>0</v>
      </c>
      <c r="H53" s="937">
        <v>0</v>
      </c>
      <c r="I53" s="937">
        <v>0</v>
      </c>
      <c r="J53" s="937">
        <v>0</v>
      </c>
      <c r="K53" s="937">
        <v>0</v>
      </c>
      <c r="L53" s="937">
        <v>0</v>
      </c>
      <c r="M53" s="937">
        <v>0</v>
      </c>
      <c r="N53" s="937">
        <v>0</v>
      </c>
      <c r="O53" s="937">
        <v>0</v>
      </c>
      <c r="P53" s="937">
        <v>0</v>
      </c>
      <c r="Q53" s="937">
        <v>0</v>
      </c>
      <c r="R53" s="937">
        <v>0</v>
      </c>
      <c r="S53" s="937">
        <v>0</v>
      </c>
      <c r="T53" s="937">
        <v>0</v>
      </c>
      <c r="U53" s="938" t="str">
        <f t="shared" si="9"/>
        <v>Restricted - Direct Fed Gov't</v>
      </c>
      <c r="V53" s="938">
        <f t="shared" si="10"/>
        <v>0</v>
      </c>
    </row>
    <row r="54" spans="1:22" s="37" customFormat="1" hidden="1" x14ac:dyDescent="0.2">
      <c r="A54" s="2"/>
      <c r="B54" s="3" t="s">
        <v>299</v>
      </c>
      <c r="C54" s="937">
        <v>0</v>
      </c>
      <c r="D54" s="937">
        <v>0</v>
      </c>
      <c r="E54" s="937">
        <v>0</v>
      </c>
      <c r="F54" s="937">
        <v>0</v>
      </c>
      <c r="G54" s="937">
        <v>0</v>
      </c>
      <c r="H54" s="937">
        <v>0</v>
      </c>
      <c r="I54" s="937">
        <v>0</v>
      </c>
      <c r="J54" s="937">
        <v>0</v>
      </c>
      <c r="K54" s="937">
        <v>0</v>
      </c>
      <c r="L54" s="937">
        <v>0</v>
      </c>
      <c r="M54" s="937">
        <v>0</v>
      </c>
      <c r="N54" s="937">
        <v>0</v>
      </c>
      <c r="O54" s="937">
        <v>0</v>
      </c>
      <c r="P54" s="937">
        <v>0</v>
      </c>
      <c r="Q54" s="937">
        <v>0</v>
      </c>
      <c r="R54" s="937">
        <v>0</v>
      </c>
      <c r="S54" s="937">
        <v>0</v>
      </c>
      <c r="T54" s="937">
        <v>0</v>
      </c>
      <c r="U54" s="938" t="str">
        <f t="shared" si="9"/>
        <v>Restricted - Direct</v>
      </c>
      <c r="V54" s="938">
        <f t="shared" si="10"/>
        <v>0</v>
      </c>
    </row>
    <row r="55" spans="1:22" s="37" customFormat="1" x14ac:dyDescent="0.2">
      <c r="A55" s="2"/>
      <c r="B55" s="3" t="s">
        <v>298</v>
      </c>
      <c r="C55" s="937">
        <v>0</v>
      </c>
      <c r="D55" s="937">
        <v>0</v>
      </c>
      <c r="E55" s="937">
        <v>0</v>
      </c>
      <c r="F55" s="937">
        <v>0</v>
      </c>
      <c r="G55" s="937">
        <v>0</v>
      </c>
      <c r="H55" s="937">
        <v>0</v>
      </c>
      <c r="I55" s="937">
        <v>0</v>
      </c>
      <c r="J55" s="937">
        <v>0</v>
      </c>
      <c r="K55" s="937">
        <v>0</v>
      </c>
      <c r="L55" s="937">
        <v>481298</v>
      </c>
      <c r="M55" s="937">
        <v>0</v>
      </c>
      <c r="N55" s="937">
        <v>0</v>
      </c>
      <c r="O55" s="937">
        <v>0</v>
      </c>
      <c r="P55" s="937">
        <v>0</v>
      </c>
      <c r="Q55" s="937">
        <v>0</v>
      </c>
      <c r="R55" s="937">
        <v>0</v>
      </c>
      <c r="S55" s="937">
        <v>0</v>
      </c>
      <c r="T55" s="937">
        <v>0</v>
      </c>
      <c r="U55" s="938" t="str">
        <f t="shared" si="9"/>
        <v>Restricted - State Agency</v>
      </c>
      <c r="V55" s="938">
        <f t="shared" si="10"/>
        <v>481298</v>
      </c>
    </row>
    <row r="56" spans="1:22" s="37" customFormat="1" hidden="1" x14ac:dyDescent="0.2">
      <c r="A56" s="2"/>
      <c r="B56" s="3" t="s">
        <v>476</v>
      </c>
      <c r="C56" s="937">
        <v>0</v>
      </c>
      <c r="D56" s="937">
        <v>0</v>
      </c>
      <c r="E56" s="937">
        <v>0</v>
      </c>
      <c r="F56" s="937">
        <v>0</v>
      </c>
      <c r="G56" s="937">
        <v>0</v>
      </c>
      <c r="H56" s="937">
        <v>0</v>
      </c>
      <c r="I56" s="937">
        <v>0</v>
      </c>
      <c r="J56" s="937">
        <v>0</v>
      </c>
      <c r="K56" s="937">
        <v>0</v>
      </c>
      <c r="L56" s="937">
        <v>0</v>
      </c>
      <c r="M56" s="937">
        <v>0</v>
      </c>
      <c r="N56" s="937">
        <v>0</v>
      </c>
      <c r="O56" s="937">
        <v>0</v>
      </c>
      <c r="P56" s="937">
        <v>0</v>
      </c>
      <c r="Q56" s="937">
        <v>0</v>
      </c>
      <c r="R56" s="937">
        <v>0</v>
      </c>
      <c r="S56" s="937">
        <v>0</v>
      </c>
      <c r="T56" s="937">
        <v>0</v>
      </c>
      <c r="U56" s="938" t="str">
        <f t="shared" si="9"/>
        <v>Restricted - Other Agency</v>
      </c>
      <c r="V56" s="938">
        <f t="shared" si="10"/>
        <v>0</v>
      </c>
    </row>
    <row r="57" spans="1:22" s="37" customFormat="1" hidden="1" x14ac:dyDescent="0.2">
      <c r="A57" s="2"/>
      <c r="B57" s="3" t="s">
        <v>398</v>
      </c>
      <c r="C57" s="937">
        <v>0</v>
      </c>
      <c r="D57" s="937">
        <v>0</v>
      </c>
      <c r="E57" s="937">
        <v>0</v>
      </c>
      <c r="F57" s="937">
        <v>0</v>
      </c>
      <c r="G57" s="937">
        <v>0</v>
      </c>
      <c r="H57" s="937">
        <v>0</v>
      </c>
      <c r="I57" s="937">
        <v>0</v>
      </c>
      <c r="J57" s="937">
        <v>0</v>
      </c>
      <c r="K57" s="937">
        <v>0</v>
      </c>
      <c r="L57" s="937">
        <v>0</v>
      </c>
      <c r="M57" s="937">
        <v>0</v>
      </c>
      <c r="N57" s="937">
        <v>0</v>
      </c>
      <c r="O57" s="937">
        <v>0</v>
      </c>
      <c r="P57" s="937">
        <v>0</v>
      </c>
      <c r="Q57" s="937">
        <v>0</v>
      </c>
      <c r="R57" s="937">
        <v>0</v>
      </c>
      <c r="S57" s="937">
        <v>0</v>
      </c>
      <c r="T57" s="937">
        <v>0</v>
      </c>
      <c r="U57" s="938" t="str">
        <f t="shared" si="9"/>
        <v>Revenue in Lieu of Taxes</v>
      </c>
      <c r="V57" s="938">
        <f t="shared" si="10"/>
        <v>0</v>
      </c>
    </row>
    <row r="58" spans="1:22" hidden="1" x14ac:dyDescent="0.2">
      <c r="B58" s="3" t="s">
        <v>554</v>
      </c>
      <c r="C58" s="937">
        <v>0</v>
      </c>
      <c r="D58" s="937">
        <v>0</v>
      </c>
      <c r="E58" s="937">
        <v>0</v>
      </c>
      <c r="F58" s="937">
        <v>0</v>
      </c>
      <c r="G58" s="937">
        <v>0</v>
      </c>
      <c r="H58" s="937">
        <v>0</v>
      </c>
      <c r="I58" s="937">
        <v>0</v>
      </c>
      <c r="J58" s="937">
        <v>0</v>
      </c>
      <c r="K58" s="937">
        <v>0</v>
      </c>
      <c r="L58" s="937">
        <v>0</v>
      </c>
      <c r="M58" s="937">
        <v>0</v>
      </c>
      <c r="N58" s="937">
        <v>0</v>
      </c>
      <c r="O58" s="937">
        <v>0</v>
      </c>
      <c r="P58" s="937">
        <v>0</v>
      </c>
      <c r="Q58" s="937">
        <v>0</v>
      </c>
      <c r="R58" s="937">
        <v>0</v>
      </c>
      <c r="S58" s="937">
        <v>0</v>
      </c>
      <c r="T58" s="937">
        <v>0</v>
      </c>
      <c r="U58" s="938" t="str">
        <f t="shared" si="9"/>
        <v>Revenue for/on behalf of School District</v>
      </c>
      <c r="V58" s="938">
        <f t="shared" si="10"/>
        <v>0</v>
      </c>
    </row>
    <row r="59" spans="1:22" hidden="1" x14ac:dyDescent="0.2">
      <c r="C59" s="935"/>
      <c r="D59" s="935"/>
      <c r="E59" s="935"/>
      <c r="F59" s="935"/>
      <c r="G59" s="935"/>
      <c r="H59" s="935"/>
      <c r="I59" s="935"/>
      <c r="J59" s="935"/>
      <c r="K59" s="935"/>
      <c r="L59" s="935"/>
      <c r="M59" s="935"/>
      <c r="N59" s="935"/>
      <c r="O59" s="935"/>
      <c r="P59" s="935"/>
      <c r="Q59" s="935"/>
      <c r="R59" s="935"/>
      <c r="S59" s="935"/>
      <c r="T59" s="935"/>
      <c r="U59" s="939"/>
      <c r="V59" s="905"/>
    </row>
    <row r="60" spans="1:22" s="2" customFormat="1" x14ac:dyDescent="0.2">
      <c r="B60" s="39" t="s">
        <v>126</v>
      </c>
      <c r="C60" s="931">
        <f>SUM(C47:C59)</f>
        <v>39168</v>
      </c>
      <c r="D60" s="931">
        <f t="shared" ref="D60:T60" si="11">SUM(D47:D59)</f>
        <v>0</v>
      </c>
      <c r="E60" s="931">
        <f t="shared" si="11"/>
        <v>0</v>
      </c>
      <c r="F60" s="931">
        <f t="shared" si="11"/>
        <v>0</v>
      </c>
      <c r="G60" s="931">
        <f t="shared" si="11"/>
        <v>0</v>
      </c>
      <c r="H60" s="931">
        <f t="shared" si="11"/>
        <v>0</v>
      </c>
      <c r="I60" s="931">
        <f t="shared" si="11"/>
        <v>0</v>
      </c>
      <c r="J60" s="931">
        <f t="shared" si="11"/>
        <v>0</v>
      </c>
      <c r="K60" s="931">
        <f t="shared" si="11"/>
        <v>0</v>
      </c>
      <c r="L60" s="931">
        <f t="shared" si="11"/>
        <v>481298</v>
      </c>
      <c r="M60" s="931">
        <f t="shared" si="11"/>
        <v>100000</v>
      </c>
      <c r="N60" s="931">
        <f t="shared" si="11"/>
        <v>0</v>
      </c>
      <c r="O60" s="931">
        <f t="shared" si="11"/>
        <v>0</v>
      </c>
      <c r="P60" s="931">
        <f t="shared" si="11"/>
        <v>0</v>
      </c>
      <c r="Q60" s="931">
        <f t="shared" si="11"/>
        <v>0</v>
      </c>
      <c r="R60" s="931">
        <f t="shared" si="11"/>
        <v>0</v>
      </c>
      <c r="S60" s="931">
        <f t="shared" si="11"/>
        <v>0</v>
      </c>
      <c r="T60" s="931">
        <f t="shared" si="11"/>
        <v>0</v>
      </c>
      <c r="U60" s="930">
        <f t="shared" si="8"/>
        <v>620466</v>
      </c>
      <c r="V60" s="903"/>
    </row>
    <row r="61" spans="1:22" x14ac:dyDescent="0.2">
      <c r="B61" s="550"/>
      <c r="C61" s="935"/>
      <c r="D61" s="935"/>
      <c r="E61" s="935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5"/>
      <c r="U61" s="939"/>
      <c r="V61" s="905"/>
    </row>
    <row r="62" spans="1:22" hidden="1" x14ac:dyDescent="0.2">
      <c r="B62" s="3" t="s">
        <v>300</v>
      </c>
      <c r="C62" s="937">
        <v>0</v>
      </c>
      <c r="D62" s="937">
        <v>0</v>
      </c>
      <c r="E62" s="937">
        <v>0</v>
      </c>
      <c r="F62" s="937">
        <v>0</v>
      </c>
      <c r="G62" s="937">
        <v>0</v>
      </c>
      <c r="H62" s="937">
        <v>0</v>
      </c>
      <c r="I62" s="937">
        <v>0</v>
      </c>
      <c r="J62" s="937">
        <v>0</v>
      </c>
      <c r="K62" s="937">
        <v>0</v>
      </c>
      <c r="L62" s="937">
        <v>0</v>
      </c>
      <c r="M62" s="937">
        <v>0</v>
      </c>
      <c r="N62" s="937">
        <v>0</v>
      </c>
      <c r="O62" s="937">
        <v>0</v>
      </c>
      <c r="P62" s="937">
        <v>0</v>
      </c>
      <c r="Q62" s="937">
        <v>0</v>
      </c>
      <c r="R62" s="937">
        <v>0</v>
      </c>
      <c r="S62" s="937">
        <v>0</v>
      </c>
      <c r="T62" s="937">
        <v>0</v>
      </c>
      <c r="U62" s="938" t="str">
        <f>B62</f>
        <v xml:space="preserve">Bond Principal </v>
      </c>
      <c r="V62" s="938">
        <f>SUM(C62:T62)</f>
        <v>0</v>
      </c>
    </row>
    <row r="63" spans="1:22" hidden="1" x14ac:dyDescent="0.2">
      <c r="B63" s="3" t="s">
        <v>408</v>
      </c>
      <c r="C63" s="937">
        <v>0</v>
      </c>
      <c r="D63" s="937">
        <v>0</v>
      </c>
      <c r="E63" s="937">
        <v>0</v>
      </c>
      <c r="F63" s="937">
        <v>0</v>
      </c>
      <c r="G63" s="937">
        <v>0</v>
      </c>
      <c r="H63" s="937">
        <v>0</v>
      </c>
      <c r="I63" s="937">
        <v>0</v>
      </c>
      <c r="J63" s="937">
        <v>0</v>
      </c>
      <c r="K63" s="937">
        <v>0</v>
      </c>
      <c r="L63" s="937">
        <v>0</v>
      </c>
      <c r="M63" s="937">
        <v>0</v>
      </c>
      <c r="N63" s="937">
        <v>0</v>
      </c>
      <c r="O63" s="937">
        <v>0</v>
      </c>
      <c r="P63" s="937">
        <v>0</v>
      </c>
      <c r="Q63" s="937">
        <v>0</v>
      </c>
      <c r="R63" s="937">
        <v>0</v>
      </c>
      <c r="S63" s="937">
        <v>0</v>
      </c>
      <c r="T63" s="937">
        <v>0</v>
      </c>
      <c r="U63" s="938" t="str">
        <f>B63</f>
        <v>Premium/Discount of Bond Sale</v>
      </c>
      <c r="V63" s="938">
        <f>SUM(C63:T63)</f>
        <v>0</v>
      </c>
    </row>
    <row r="64" spans="1:22" s="37" customFormat="1" x14ac:dyDescent="0.2">
      <c r="A64" s="2"/>
      <c r="B64" s="3" t="s">
        <v>301</v>
      </c>
      <c r="C64" s="937">
        <v>21442</v>
      </c>
      <c r="D64" s="937">
        <v>228087</v>
      </c>
      <c r="E64" s="937">
        <v>0</v>
      </c>
      <c r="F64" s="937">
        <v>0</v>
      </c>
      <c r="G64" s="937">
        <v>0</v>
      </c>
      <c r="H64" s="937">
        <v>0</v>
      </c>
      <c r="I64" s="937">
        <v>0</v>
      </c>
      <c r="J64" s="937">
        <v>527010</v>
      </c>
      <c r="K64" s="937">
        <v>0</v>
      </c>
      <c r="L64" s="937">
        <v>0</v>
      </c>
      <c r="M64" s="937">
        <v>100000</v>
      </c>
      <c r="N64" s="937">
        <v>312700</v>
      </c>
      <c r="O64" s="937">
        <v>0</v>
      </c>
      <c r="P64" s="937">
        <v>974400</v>
      </c>
      <c r="Q64" s="937">
        <v>0</v>
      </c>
      <c r="R64" s="937">
        <v>0</v>
      </c>
      <c r="S64" s="937">
        <v>0</v>
      </c>
      <c r="T64" s="937">
        <v>-2163639</v>
      </c>
      <c r="U64" s="938" t="str">
        <f>B64</f>
        <v>Transfers from Other Funds</v>
      </c>
      <c r="V64" s="938">
        <f>SUM(C64:T64)</f>
        <v>0</v>
      </c>
    </row>
    <row r="65" spans="1:23" s="37" customFormat="1" x14ac:dyDescent="0.2">
      <c r="A65" s="2"/>
      <c r="B65" s="3" t="s">
        <v>661</v>
      </c>
      <c r="C65" s="937">
        <v>2500</v>
      </c>
      <c r="D65" s="937">
        <v>0</v>
      </c>
      <c r="E65" s="937">
        <v>0</v>
      </c>
      <c r="F65" s="937">
        <v>0</v>
      </c>
      <c r="G65" s="937">
        <v>0</v>
      </c>
      <c r="H65" s="937">
        <v>0</v>
      </c>
      <c r="I65" s="937">
        <v>0</v>
      </c>
      <c r="J65" s="937">
        <v>0</v>
      </c>
      <c r="K65" s="937">
        <v>0</v>
      </c>
      <c r="L65" s="937">
        <v>0</v>
      </c>
      <c r="M65" s="937">
        <v>0</v>
      </c>
      <c r="N65" s="937">
        <v>0</v>
      </c>
      <c r="O65" s="937">
        <v>0</v>
      </c>
      <c r="P65" s="937">
        <v>0</v>
      </c>
      <c r="Q65" s="937">
        <v>0</v>
      </c>
      <c r="R65" s="937">
        <v>0</v>
      </c>
      <c r="S65" s="937">
        <v>0</v>
      </c>
      <c r="T65" s="937">
        <v>0</v>
      </c>
      <c r="U65" s="938" t="str">
        <f>B65</f>
        <v>Sale Loss Fixed Assets</v>
      </c>
      <c r="V65" s="938">
        <f>SUM(C65:T65)</f>
        <v>2500</v>
      </c>
    </row>
    <row r="66" spans="1:23" hidden="1" x14ac:dyDescent="0.2">
      <c r="C66" s="935"/>
      <c r="D66" s="935"/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9"/>
      <c r="V66" s="905"/>
    </row>
    <row r="67" spans="1:23" s="2" customFormat="1" x14ac:dyDescent="0.2">
      <c r="B67" s="39" t="s">
        <v>127</v>
      </c>
      <c r="C67" s="931">
        <f>SUM(C61:C66)</f>
        <v>23942</v>
      </c>
      <c r="D67" s="931">
        <f t="shared" ref="D67:T67" si="12">SUM(D61:D66)</f>
        <v>228087</v>
      </c>
      <c r="E67" s="931">
        <f t="shared" si="12"/>
        <v>0</v>
      </c>
      <c r="F67" s="931">
        <f t="shared" si="12"/>
        <v>0</v>
      </c>
      <c r="G67" s="931">
        <f t="shared" si="12"/>
        <v>0</v>
      </c>
      <c r="H67" s="931">
        <f t="shared" si="12"/>
        <v>0</v>
      </c>
      <c r="I67" s="931">
        <f t="shared" si="12"/>
        <v>0</v>
      </c>
      <c r="J67" s="931">
        <f t="shared" si="12"/>
        <v>527010</v>
      </c>
      <c r="K67" s="931">
        <f t="shared" si="12"/>
        <v>0</v>
      </c>
      <c r="L67" s="931">
        <f t="shared" si="12"/>
        <v>0</v>
      </c>
      <c r="M67" s="931">
        <f t="shared" si="12"/>
        <v>100000</v>
      </c>
      <c r="N67" s="931">
        <f t="shared" si="12"/>
        <v>312700</v>
      </c>
      <c r="O67" s="931">
        <f t="shared" si="12"/>
        <v>0</v>
      </c>
      <c r="P67" s="931">
        <f t="shared" si="12"/>
        <v>974400</v>
      </c>
      <c r="Q67" s="931">
        <f t="shared" si="12"/>
        <v>0</v>
      </c>
      <c r="R67" s="931">
        <f t="shared" si="12"/>
        <v>0</v>
      </c>
      <c r="S67" s="931">
        <f t="shared" si="12"/>
        <v>0</v>
      </c>
      <c r="T67" s="931">
        <f t="shared" si="12"/>
        <v>-2163639</v>
      </c>
      <c r="U67" s="930">
        <f t="shared" si="8"/>
        <v>2500</v>
      </c>
      <c r="V67" s="903"/>
    </row>
    <row r="68" spans="1:23" x14ac:dyDescent="0.2">
      <c r="C68" s="935"/>
      <c r="D68" s="935"/>
      <c r="E68" s="935"/>
      <c r="F68" s="935"/>
      <c r="G68" s="935"/>
      <c r="H68" s="935"/>
      <c r="I68" s="935"/>
      <c r="J68" s="935"/>
      <c r="K68" s="935"/>
      <c r="L68" s="935"/>
      <c r="M68" s="935"/>
      <c r="N68" s="935"/>
      <c r="O68" s="935"/>
      <c r="P68" s="935"/>
      <c r="Q68" s="935"/>
      <c r="R68" s="935"/>
      <c r="S68" s="935"/>
      <c r="T68" s="935"/>
      <c r="U68" s="939"/>
      <c r="V68" s="905"/>
    </row>
    <row r="69" spans="1:23" s="2" customFormat="1" x14ac:dyDescent="0.2">
      <c r="B69" s="18" t="s">
        <v>128</v>
      </c>
      <c r="C69" s="931">
        <f>SUM(C67,C60,C46,C33)</f>
        <v>15886637</v>
      </c>
      <c r="D69" s="931">
        <f t="shared" ref="D69:T69" si="13">SUM(D67,D60,D46,D33)</f>
        <v>228087</v>
      </c>
      <c r="E69" s="931">
        <f t="shared" si="13"/>
        <v>60065</v>
      </c>
      <c r="F69" s="931">
        <f t="shared" si="13"/>
        <v>58800</v>
      </c>
      <c r="G69" s="931">
        <f t="shared" si="13"/>
        <v>161731</v>
      </c>
      <c r="H69" s="931">
        <f t="shared" si="13"/>
        <v>61190</v>
      </c>
      <c r="I69" s="931">
        <f t="shared" si="13"/>
        <v>1031414</v>
      </c>
      <c r="J69" s="931">
        <f t="shared" si="13"/>
        <v>1209737</v>
      </c>
      <c r="K69" s="931">
        <f t="shared" si="13"/>
        <v>19250</v>
      </c>
      <c r="L69" s="931">
        <f t="shared" si="13"/>
        <v>481298</v>
      </c>
      <c r="M69" s="931">
        <f t="shared" si="13"/>
        <v>305000</v>
      </c>
      <c r="N69" s="931">
        <f t="shared" si="13"/>
        <v>312700</v>
      </c>
      <c r="O69" s="931">
        <f t="shared" si="13"/>
        <v>0</v>
      </c>
      <c r="P69" s="931">
        <f t="shared" si="13"/>
        <v>1300846</v>
      </c>
      <c r="Q69" s="931">
        <f t="shared" si="13"/>
        <v>12700</v>
      </c>
      <c r="R69" s="931">
        <f t="shared" si="13"/>
        <v>0</v>
      </c>
      <c r="S69" s="931">
        <f t="shared" si="13"/>
        <v>1342400</v>
      </c>
      <c r="T69" s="931">
        <f t="shared" si="13"/>
        <v>-2163639</v>
      </c>
      <c r="U69" s="930">
        <f>SUM(U33:U68)</f>
        <v>20308216</v>
      </c>
      <c r="V69" s="903"/>
    </row>
    <row r="70" spans="1:23" s="2" customFormat="1" x14ac:dyDescent="0.2">
      <c r="B70" s="18"/>
      <c r="C70" s="931"/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0"/>
      <c r="V70" s="903"/>
    </row>
    <row r="71" spans="1:23" s="37" customFormat="1" x14ac:dyDescent="0.2">
      <c r="A71" s="2"/>
      <c r="B71" s="3" t="s">
        <v>662</v>
      </c>
      <c r="C71" s="937">
        <v>6455380</v>
      </c>
      <c r="D71" s="937">
        <v>0</v>
      </c>
      <c r="E71" s="937">
        <v>0</v>
      </c>
      <c r="F71" s="937">
        <v>0</v>
      </c>
      <c r="G71" s="937">
        <v>0</v>
      </c>
      <c r="H71" s="937">
        <v>0</v>
      </c>
      <c r="I71" s="937">
        <v>0</v>
      </c>
      <c r="J71" s="937">
        <v>0</v>
      </c>
      <c r="K71" s="937">
        <v>10000</v>
      </c>
      <c r="L71" s="937">
        <v>0</v>
      </c>
      <c r="M71" s="937">
        <v>0</v>
      </c>
      <c r="N71" s="937">
        <v>0</v>
      </c>
      <c r="O71" s="937">
        <v>0</v>
      </c>
      <c r="P71" s="937">
        <v>0</v>
      </c>
      <c r="Q71" s="937">
        <v>10000</v>
      </c>
      <c r="R71" s="937">
        <v>0</v>
      </c>
      <c r="S71" s="937">
        <v>0</v>
      </c>
      <c r="T71" s="937">
        <v>0</v>
      </c>
      <c r="U71" s="938" t="str">
        <f t="shared" ref="U71:U76" si="14">B71</f>
        <v>Reserved Net Proceeds</v>
      </c>
      <c r="V71" s="938">
        <f t="shared" ref="V71:V76" si="15">SUM(C71:T71)</f>
        <v>6475380</v>
      </c>
    </row>
    <row r="72" spans="1:23" s="37" customFormat="1" x14ac:dyDescent="0.2">
      <c r="A72" s="2"/>
      <c r="B72" s="3" t="s">
        <v>663</v>
      </c>
      <c r="C72" s="937">
        <v>0</v>
      </c>
      <c r="D72" s="937">
        <v>0</v>
      </c>
      <c r="E72" s="937">
        <v>3000</v>
      </c>
      <c r="F72" s="937">
        <v>0</v>
      </c>
      <c r="G72" s="937">
        <v>0</v>
      </c>
      <c r="H72" s="937">
        <v>0</v>
      </c>
      <c r="I72" s="937">
        <v>0</v>
      </c>
      <c r="J72" s="937">
        <v>0</v>
      </c>
      <c r="K72" s="937">
        <v>0</v>
      </c>
      <c r="L72" s="937">
        <v>0</v>
      </c>
      <c r="M72" s="937">
        <v>0</v>
      </c>
      <c r="N72" s="937">
        <v>0</v>
      </c>
      <c r="O72" s="937">
        <v>0</v>
      </c>
      <c r="P72" s="937">
        <v>0</v>
      </c>
      <c r="Q72" s="937">
        <v>0</v>
      </c>
      <c r="R72" s="937">
        <v>0</v>
      </c>
      <c r="S72" s="937">
        <v>0</v>
      </c>
      <c r="T72" s="937">
        <v>0</v>
      </c>
      <c r="U72" s="938" t="str">
        <f t="shared" si="14"/>
        <v>Reserved Fund Balance - PIRC</v>
      </c>
      <c r="V72" s="938">
        <f t="shared" si="15"/>
        <v>3000</v>
      </c>
    </row>
    <row r="73" spans="1:23" s="37" customFormat="1" hidden="1" x14ac:dyDescent="0.2">
      <c r="A73" s="2"/>
      <c r="B73" s="3" t="s">
        <v>303</v>
      </c>
      <c r="C73" s="937">
        <v>0</v>
      </c>
      <c r="D73" s="937">
        <v>0</v>
      </c>
      <c r="E73" s="937">
        <v>0</v>
      </c>
      <c r="F73" s="937">
        <v>0</v>
      </c>
      <c r="G73" s="937">
        <v>0</v>
      </c>
      <c r="H73" s="937">
        <v>0</v>
      </c>
      <c r="I73" s="937">
        <v>0</v>
      </c>
      <c r="J73" s="937">
        <v>0</v>
      </c>
      <c r="K73" s="937">
        <v>0</v>
      </c>
      <c r="L73" s="937">
        <v>0</v>
      </c>
      <c r="M73" s="937">
        <v>0</v>
      </c>
      <c r="N73" s="937">
        <v>0</v>
      </c>
      <c r="O73" s="937">
        <v>0</v>
      </c>
      <c r="P73" s="937">
        <v>0</v>
      </c>
      <c r="Q73" s="937">
        <v>0</v>
      </c>
      <c r="R73" s="937">
        <v>0</v>
      </c>
      <c r="S73" s="937">
        <v>0</v>
      </c>
      <c r="T73" s="937">
        <v>0</v>
      </c>
      <c r="U73" s="938" t="str">
        <f t="shared" si="14"/>
        <v>Reserved Opening Balance</v>
      </c>
      <c r="V73" s="938">
        <f t="shared" si="15"/>
        <v>0</v>
      </c>
    </row>
    <row r="74" spans="1:23" s="37" customFormat="1" x14ac:dyDescent="0.2">
      <c r="A74" s="2"/>
      <c r="B74" s="3" t="s">
        <v>600</v>
      </c>
      <c r="C74" s="937">
        <v>1525964</v>
      </c>
      <c r="D74" s="937">
        <v>228095</v>
      </c>
      <c r="E74" s="937">
        <v>0</v>
      </c>
      <c r="F74" s="937">
        <v>0</v>
      </c>
      <c r="G74" s="937">
        <v>0</v>
      </c>
      <c r="H74" s="937">
        <v>0</v>
      </c>
      <c r="I74" s="937">
        <v>0</v>
      </c>
      <c r="J74" s="937">
        <v>0</v>
      </c>
      <c r="K74" s="937">
        <v>684432</v>
      </c>
      <c r="L74" s="937">
        <v>0</v>
      </c>
      <c r="M74" s="937">
        <v>0</v>
      </c>
      <c r="N74" s="937">
        <v>1210008</v>
      </c>
      <c r="O74" s="937">
        <v>1441936</v>
      </c>
      <c r="P74" s="937">
        <v>3890935</v>
      </c>
      <c r="Q74" s="937">
        <v>230477</v>
      </c>
      <c r="R74" s="937">
        <v>21442</v>
      </c>
      <c r="S74" s="937">
        <v>0</v>
      </c>
      <c r="T74" s="937">
        <v>0</v>
      </c>
      <c r="U74" s="938" t="str">
        <f t="shared" si="14"/>
        <v>Unreserved Opening Balance</v>
      </c>
      <c r="V74" s="938">
        <f t="shared" si="15"/>
        <v>9233289</v>
      </c>
    </row>
    <row r="75" spans="1:23" s="37" customFormat="1" x14ac:dyDescent="0.2">
      <c r="A75" s="2"/>
      <c r="B75" s="3" t="s">
        <v>304</v>
      </c>
      <c r="C75" s="937">
        <v>0</v>
      </c>
      <c r="D75" s="937">
        <v>0</v>
      </c>
      <c r="E75" s="937">
        <v>855019</v>
      </c>
      <c r="F75" s="937">
        <v>0</v>
      </c>
      <c r="G75" s="937">
        <v>2524</v>
      </c>
      <c r="H75" s="937">
        <v>3296</v>
      </c>
      <c r="I75" s="937">
        <v>3782</v>
      </c>
      <c r="J75" s="937">
        <v>98915</v>
      </c>
      <c r="K75" s="937">
        <v>0</v>
      </c>
      <c r="L75" s="937">
        <v>1835</v>
      </c>
      <c r="M75" s="937">
        <v>237263</v>
      </c>
      <c r="N75" s="937">
        <v>0</v>
      </c>
      <c r="O75" s="937">
        <v>0</v>
      </c>
      <c r="P75" s="937">
        <v>0</v>
      </c>
      <c r="Q75" s="937">
        <v>0</v>
      </c>
      <c r="R75" s="937">
        <v>0</v>
      </c>
      <c r="S75" s="937">
        <v>1736578</v>
      </c>
      <c r="T75" s="937">
        <v>0</v>
      </c>
      <c r="U75" s="938" t="str">
        <f t="shared" si="14"/>
        <v>Opening Balance (Other)</v>
      </c>
      <c r="V75" s="938">
        <f t="shared" si="15"/>
        <v>2939212</v>
      </c>
    </row>
    <row r="76" spans="1:23" s="37" customFormat="1" hidden="1" x14ac:dyDescent="0.2">
      <c r="A76" s="2"/>
      <c r="B76" s="3" t="s">
        <v>305</v>
      </c>
      <c r="C76" s="937">
        <v>0</v>
      </c>
      <c r="D76" s="937">
        <v>0</v>
      </c>
      <c r="E76" s="937">
        <v>0</v>
      </c>
      <c r="F76" s="937">
        <v>0</v>
      </c>
      <c r="G76" s="937">
        <v>0</v>
      </c>
      <c r="H76" s="937">
        <v>0</v>
      </c>
      <c r="I76" s="937">
        <v>0</v>
      </c>
      <c r="J76" s="937">
        <v>0</v>
      </c>
      <c r="K76" s="937">
        <v>0</v>
      </c>
      <c r="L76" s="937">
        <v>0</v>
      </c>
      <c r="M76" s="937">
        <v>0</v>
      </c>
      <c r="N76" s="937">
        <v>0</v>
      </c>
      <c r="O76" s="937">
        <v>0</v>
      </c>
      <c r="P76" s="937">
        <v>0</v>
      </c>
      <c r="Q76" s="937">
        <v>0</v>
      </c>
      <c r="R76" s="937">
        <v>0</v>
      </c>
      <c r="S76" s="937">
        <v>0</v>
      </c>
      <c r="T76" s="937">
        <v>0</v>
      </c>
      <c r="U76" s="938" t="str">
        <f t="shared" si="14"/>
        <v>Reverted to State</v>
      </c>
      <c r="V76" s="938">
        <f t="shared" si="15"/>
        <v>0</v>
      </c>
    </row>
    <row r="77" spans="1:23" hidden="1" x14ac:dyDescent="0.2">
      <c r="C77" s="935"/>
      <c r="D77" s="935"/>
      <c r="E77" s="935"/>
      <c r="F77" s="935"/>
      <c r="G77" s="935"/>
      <c r="H77" s="935"/>
      <c r="I77" s="935"/>
      <c r="J77" s="935"/>
      <c r="K77" s="935"/>
      <c r="L77" s="935"/>
      <c r="M77" s="935"/>
      <c r="N77" s="935"/>
      <c r="O77" s="935"/>
      <c r="P77" s="935"/>
      <c r="Q77" s="935"/>
      <c r="R77" s="935"/>
      <c r="S77" s="935"/>
      <c r="T77" s="935"/>
      <c r="U77" s="905"/>
      <c r="V77" s="905"/>
    </row>
    <row r="78" spans="1:23" s="2" customFormat="1" x14ac:dyDescent="0.2">
      <c r="B78" s="39" t="s">
        <v>129</v>
      </c>
      <c r="C78" s="931">
        <f>SUM(C70:C77)</f>
        <v>7981344</v>
      </c>
      <c r="D78" s="931">
        <f t="shared" ref="D78:T78" si="16">SUM(D70:D77)</f>
        <v>228095</v>
      </c>
      <c r="E78" s="931">
        <f t="shared" si="16"/>
        <v>858019</v>
      </c>
      <c r="F78" s="931">
        <f t="shared" si="16"/>
        <v>0</v>
      </c>
      <c r="G78" s="931">
        <f t="shared" si="16"/>
        <v>2524</v>
      </c>
      <c r="H78" s="931">
        <f t="shared" si="16"/>
        <v>3296</v>
      </c>
      <c r="I78" s="931">
        <f t="shared" si="16"/>
        <v>3782</v>
      </c>
      <c r="J78" s="931">
        <f t="shared" si="16"/>
        <v>98915</v>
      </c>
      <c r="K78" s="931">
        <f t="shared" si="16"/>
        <v>694432</v>
      </c>
      <c r="L78" s="931">
        <f t="shared" si="16"/>
        <v>1835</v>
      </c>
      <c r="M78" s="931">
        <f t="shared" si="16"/>
        <v>237263</v>
      </c>
      <c r="N78" s="931">
        <f t="shared" si="16"/>
        <v>1210008</v>
      </c>
      <c r="O78" s="931">
        <f t="shared" si="16"/>
        <v>1441936</v>
      </c>
      <c r="P78" s="931">
        <f t="shared" si="16"/>
        <v>3890935</v>
      </c>
      <c r="Q78" s="931">
        <f t="shared" si="16"/>
        <v>240477</v>
      </c>
      <c r="R78" s="931">
        <f t="shared" si="16"/>
        <v>21442</v>
      </c>
      <c r="S78" s="931">
        <f t="shared" si="16"/>
        <v>1736578</v>
      </c>
      <c r="T78" s="931">
        <f t="shared" si="16"/>
        <v>0</v>
      </c>
      <c r="U78" s="931">
        <f>SUM(C78:T78)</f>
        <v>18650881</v>
      </c>
      <c r="V78" s="903"/>
    </row>
    <row r="80" spans="1:23" x14ac:dyDescent="0.2">
      <c r="A80" s="22"/>
      <c r="B80" s="23" t="s">
        <v>306</v>
      </c>
      <c r="C80" s="24">
        <f>SUM(C78,C69)</f>
        <v>23867981</v>
      </c>
      <c r="D80" s="24">
        <f t="shared" ref="D80:T80" si="17">SUM(D78,D69)</f>
        <v>456182</v>
      </c>
      <c r="E80" s="24">
        <f t="shared" si="17"/>
        <v>918084</v>
      </c>
      <c r="F80" s="24">
        <f t="shared" si="17"/>
        <v>58800</v>
      </c>
      <c r="G80" s="24">
        <f t="shared" si="17"/>
        <v>164255</v>
      </c>
      <c r="H80" s="24">
        <f t="shared" si="17"/>
        <v>64486</v>
      </c>
      <c r="I80" s="24">
        <f t="shared" si="17"/>
        <v>1035196</v>
      </c>
      <c r="J80" s="24">
        <f t="shared" si="17"/>
        <v>1308652</v>
      </c>
      <c r="K80" s="24">
        <f t="shared" si="17"/>
        <v>713682</v>
      </c>
      <c r="L80" s="24">
        <f t="shared" si="17"/>
        <v>483133</v>
      </c>
      <c r="M80" s="24">
        <f t="shared" si="17"/>
        <v>542263</v>
      </c>
      <c r="N80" s="24">
        <f t="shared" si="17"/>
        <v>1522708</v>
      </c>
      <c r="O80" s="24">
        <f t="shared" si="17"/>
        <v>1441936</v>
      </c>
      <c r="P80" s="24">
        <f t="shared" si="17"/>
        <v>5191781</v>
      </c>
      <c r="Q80" s="24">
        <f t="shared" si="17"/>
        <v>253177</v>
      </c>
      <c r="R80" s="24">
        <f t="shared" si="17"/>
        <v>21442</v>
      </c>
      <c r="S80" s="24">
        <f>SUM(S78,S69)</f>
        <v>3078978</v>
      </c>
      <c r="T80" s="24">
        <f t="shared" si="17"/>
        <v>-2163639</v>
      </c>
      <c r="U80" s="944">
        <f>SUM(C80:T80)</f>
        <v>38959097</v>
      </c>
      <c r="V80" s="912">
        <f>F1-U80</f>
        <v>0</v>
      </c>
      <c r="W80" s="17"/>
    </row>
    <row r="81" spans="1:21" s="2" customFormat="1" x14ac:dyDescent="0.2">
      <c r="A81" s="27"/>
      <c r="B81" s="28" t="s">
        <v>131</v>
      </c>
      <c r="C81" s="285">
        <f t="shared" ref="C81:T81" si="18">SUM(C85:C222)</f>
        <v>23867981</v>
      </c>
      <c r="D81" s="285">
        <f t="shared" si="18"/>
        <v>456182</v>
      </c>
      <c r="E81" s="285">
        <f t="shared" si="18"/>
        <v>918084</v>
      </c>
      <c r="F81" s="285">
        <f t="shared" si="18"/>
        <v>58800</v>
      </c>
      <c r="G81" s="285">
        <f t="shared" si="18"/>
        <v>164255</v>
      </c>
      <c r="H81" s="285">
        <f t="shared" si="18"/>
        <v>64486</v>
      </c>
      <c r="I81" s="285">
        <f t="shared" si="18"/>
        <v>1035196</v>
      </c>
      <c r="J81" s="285">
        <f t="shared" si="18"/>
        <v>1308652</v>
      </c>
      <c r="K81" s="285">
        <f t="shared" si="18"/>
        <v>713682</v>
      </c>
      <c r="L81" s="285">
        <f t="shared" si="18"/>
        <v>483133</v>
      </c>
      <c r="M81" s="285">
        <f t="shared" si="18"/>
        <v>542263</v>
      </c>
      <c r="N81" s="285">
        <f t="shared" si="18"/>
        <v>1522708</v>
      </c>
      <c r="O81" s="285">
        <f t="shared" si="18"/>
        <v>1441936</v>
      </c>
      <c r="P81" s="285">
        <f t="shared" si="18"/>
        <v>5191781</v>
      </c>
      <c r="Q81" s="285">
        <f t="shared" si="18"/>
        <v>253177</v>
      </c>
      <c r="R81" s="285">
        <f t="shared" si="18"/>
        <v>21442</v>
      </c>
      <c r="S81" s="285">
        <f t="shared" si="18"/>
        <v>3078978</v>
      </c>
      <c r="T81" s="285">
        <f t="shared" si="18"/>
        <v>-2163639</v>
      </c>
      <c r="U81" s="522">
        <f>SUM(C81:T81)</f>
        <v>38959097</v>
      </c>
    </row>
    <row r="82" spans="1:21" x14ac:dyDescent="0.2">
      <c r="A82" s="30"/>
      <c r="B82" s="286" t="s">
        <v>132</v>
      </c>
      <c r="C82" s="909">
        <f t="shared" ref="C82:U82" si="19">C80-C81</f>
        <v>0</v>
      </c>
      <c r="D82" s="909">
        <f t="shared" si="19"/>
        <v>0</v>
      </c>
      <c r="E82" s="909">
        <f t="shared" si="19"/>
        <v>0</v>
      </c>
      <c r="F82" s="909">
        <f t="shared" si="19"/>
        <v>0</v>
      </c>
      <c r="G82" s="909">
        <f t="shared" si="19"/>
        <v>0</v>
      </c>
      <c r="H82" s="909">
        <f t="shared" si="19"/>
        <v>0</v>
      </c>
      <c r="I82" s="909">
        <f t="shared" si="19"/>
        <v>0</v>
      </c>
      <c r="J82" s="909">
        <f t="shared" si="19"/>
        <v>0</v>
      </c>
      <c r="K82" s="909">
        <f t="shared" si="19"/>
        <v>0</v>
      </c>
      <c r="L82" s="909">
        <f t="shared" si="19"/>
        <v>0</v>
      </c>
      <c r="M82" s="909">
        <f t="shared" si="19"/>
        <v>0</v>
      </c>
      <c r="N82" s="909">
        <f t="shared" si="19"/>
        <v>0</v>
      </c>
      <c r="O82" s="909">
        <f t="shared" si="19"/>
        <v>0</v>
      </c>
      <c r="P82" s="909">
        <f t="shared" si="19"/>
        <v>0</v>
      </c>
      <c r="Q82" s="909">
        <f t="shared" si="19"/>
        <v>0</v>
      </c>
      <c r="R82" s="909">
        <f t="shared" si="19"/>
        <v>0</v>
      </c>
      <c r="S82" s="909">
        <f t="shared" si="19"/>
        <v>0</v>
      </c>
      <c r="T82" s="909">
        <f t="shared" si="19"/>
        <v>0</v>
      </c>
      <c r="U82" s="522">
        <f t="shared" si="19"/>
        <v>0</v>
      </c>
    </row>
    <row r="84" spans="1:21" x14ac:dyDescent="0.2">
      <c r="B84" s="2" t="s">
        <v>307</v>
      </c>
    </row>
    <row r="85" spans="1:21" x14ac:dyDescent="0.2">
      <c r="A85" s="2">
        <v>100</v>
      </c>
      <c r="B85" s="3" t="s">
        <v>134</v>
      </c>
      <c r="C85" s="935">
        <v>5253709</v>
      </c>
      <c r="D85" s="935">
        <v>0</v>
      </c>
      <c r="E85" s="935">
        <v>6275</v>
      </c>
      <c r="F85" s="935">
        <v>58800</v>
      </c>
      <c r="G85" s="935">
        <v>161731</v>
      </c>
      <c r="H85" s="935">
        <v>64486</v>
      </c>
      <c r="I85" s="935">
        <v>291933.25</v>
      </c>
      <c r="J85" s="935">
        <v>0</v>
      </c>
      <c r="K85" s="935">
        <v>0</v>
      </c>
      <c r="L85" s="935">
        <v>115477.5</v>
      </c>
      <c r="M85" s="935">
        <v>0</v>
      </c>
      <c r="N85" s="935">
        <v>0</v>
      </c>
      <c r="O85" s="935">
        <v>0</v>
      </c>
      <c r="P85" s="935">
        <v>0</v>
      </c>
      <c r="Q85" s="935">
        <v>0</v>
      </c>
      <c r="R85" s="935">
        <v>0</v>
      </c>
      <c r="S85" s="935">
        <v>0</v>
      </c>
      <c r="T85" s="935">
        <v>0</v>
      </c>
      <c r="U85" s="935">
        <f>SUM(C85:T85)</f>
        <v>5952411.75</v>
      </c>
    </row>
    <row r="86" spans="1:21" x14ac:dyDescent="0.2">
      <c r="A86" s="2">
        <v>200</v>
      </c>
      <c r="B86" s="3" t="s">
        <v>135</v>
      </c>
      <c r="C86" s="935">
        <v>0</v>
      </c>
      <c r="D86" s="935">
        <v>0</v>
      </c>
      <c r="E86" s="935">
        <v>0</v>
      </c>
      <c r="F86" s="935">
        <v>0</v>
      </c>
      <c r="G86" s="935">
        <v>0</v>
      </c>
      <c r="H86" s="935">
        <v>0</v>
      </c>
      <c r="I86" s="935">
        <v>0</v>
      </c>
      <c r="J86" s="935">
        <v>1214694.5</v>
      </c>
      <c r="K86" s="935">
        <v>0</v>
      </c>
      <c r="L86" s="935">
        <v>249217.5</v>
      </c>
      <c r="M86" s="935">
        <v>0</v>
      </c>
      <c r="N86" s="935">
        <v>0</v>
      </c>
      <c r="O86" s="935">
        <v>0</v>
      </c>
      <c r="P86" s="935">
        <v>0</v>
      </c>
      <c r="Q86" s="935">
        <v>0</v>
      </c>
      <c r="R86" s="935">
        <v>0</v>
      </c>
      <c r="S86" s="935">
        <v>0</v>
      </c>
      <c r="T86" s="935">
        <v>0</v>
      </c>
      <c r="U86" s="935">
        <f t="shared" ref="U86:U149" si="20">SUM(C86:T86)</f>
        <v>1463912</v>
      </c>
    </row>
    <row r="87" spans="1:21" ht="13.9" hidden="1" customHeight="1" x14ac:dyDescent="0.2">
      <c r="A87" s="2" t="s">
        <v>10</v>
      </c>
      <c r="B87" s="3" t="s">
        <v>136</v>
      </c>
      <c r="C87" s="935">
        <v>0</v>
      </c>
      <c r="D87" s="935">
        <v>0</v>
      </c>
      <c r="E87" s="935">
        <v>0</v>
      </c>
      <c r="F87" s="935">
        <v>0</v>
      </c>
      <c r="G87" s="935">
        <v>0</v>
      </c>
      <c r="H87" s="935">
        <v>0</v>
      </c>
      <c r="I87" s="935">
        <v>0</v>
      </c>
      <c r="J87" s="935">
        <v>0</v>
      </c>
      <c r="K87" s="935">
        <v>0</v>
      </c>
      <c r="L87" s="935">
        <v>0</v>
      </c>
      <c r="M87" s="935">
        <v>0</v>
      </c>
      <c r="N87" s="935">
        <v>0</v>
      </c>
      <c r="O87" s="935">
        <v>0</v>
      </c>
      <c r="P87" s="935">
        <v>0</v>
      </c>
      <c r="Q87" s="935">
        <v>0</v>
      </c>
      <c r="R87" s="935">
        <v>0</v>
      </c>
      <c r="S87" s="935">
        <v>0</v>
      </c>
      <c r="T87" s="935">
        <v>0</v>
      </c>
      <c r="U87" s="935">
        <f t="shared" si="20"/>
        <v>0</v>
      </c>
    </row>
    <row r="88" spans="1:21" hidden="1" x14ac:dyDescent="0.2">
      <c r="A88" s="2">
        <v>270</v>
      </c>
      <c r="B88" s="3" t="s">
        <v>137</v>
      </c>
      <c r="C88" s="935">
        <v>0</v>
      </c>
      <c r="D88" s="935">
        <v>0</v>
      </c>
      <c r="E88" s="935">
        <v>0</v>
      </c>
      <c r="F88" s="935">
        <v>0</v>
      </c>
      <c r="G88" s="935">
        <v>0</v>
      </c>
      <c r="H88" s="935">
        <v>0</v>
      </c>
      <c r="I88" s="935">
        <v>0</v>
      </c>
      <c r="J88" s="935">
        <v>0</v>
      </c>
      <c r="K88" s="935">
        <v>0</v>
      </c>
      <c r="L88" s="935">
        <v>0</v>
      </c>
      <c r="M88" s="935">
        <v>0</v>
      </c>
      <c r="N88" s="935">
        <v>0</v>
      </c>
      <c r="O88" s="935">
        <v>0</v>
      </c>
      <c r="P88" s="935">
        <v>0</v>
      </c>
      <c r="Q88" s="935">
        <v>0</v>
      </c>
      <c r="R88" s="935">
        <v>0</v>
      </c>
      <c r="S88" s="935">
        <v>0</v>
      </c>
      <c r="T88" s="935">
        <v>0</v>
      </c>
      <c r="U88" s="935">
        <f t="shared" si="20"/>
        <v>0</v>
      </c>
    </row>
    <row r="89" spans="1:21" hidden="1" x14ac:dyDescent="0.2">
      <c r="A89" s="2" t="s">
        <v>10</v>
      </c>
      <c r="B89" s="3" t="s">
        <v>138</v>
      </c>
      <c r="C89" s="935">
        <v>0</v>
      </c>
      <c r="D89" s="935">
        <v>0</v>
      </c>
      <c r="E89" s="935">
        <v>0</v>
      </c>
      <c r="F89" s="935">
        <v>0</v>
      </c>
      <c r="G89" s="935">
        <v>0</v>
      </c>
      <c r="H89" s="935">
        <v>0</v>
      </c>
      <c r="I89" s="935">
        <v>0</v>
      </c>
      <c r="J89" s="935">
        <v>0</v>
      </c>
      <c r="K89" s="935">
        <v>0</v>
      </c>
      <c r="L89" s="935">
        <v>0</v>
      </c>
      <c r="M89" s="935">
        <v>0</v>
      </c>
      <c r="N89" s="935">
        <v>0</v>
      </c>
      <c r="O89" s="935">
        <v>0</v>
      </c>
      <c r="P89" s="935">
        <v>0</v>
      </c>
      <c r="Q89" s="935">
        <v>0</v>
      </c>
      <c r="R89" s="935">
        <v>0</v>
      </c>
      <c r="S89" s="935">
        <v>0</v>
      </c>
      <c r="T89" s="935">
        <v>0</v>
      </c>
      <c r="U89" s="935">
        <f t="shared" si="20"/>
        <v>0</v>
      </c>
    </row>
    <row r="90" spans="1:21" x14ac:dyDescent="0.2">
      <c r="A90" s="2">
        <v>300</v>
      </c>
      <c r="B90" s="3" t="s">
        <v>139</v>
      </c>
      <c r="C90" s="935">
        <v>358545</v>
      </c>
      <c r="D90" s="935">
        <v>0</v>
      </c>
      <c r="E90" s="935">
        <v>179219</v>
      </c>
      <c r="F90" s="935">
        <v>0</v>
      </c>
      <c r="G90" s="935">
        <v>0</v>
      </c>
      <c r="H90" s="935">
        <v>0</v>
      </c>
      <c r="I90" s="935">
        <v>86372.25</v>
      </c>
      <c r="J90" s="935">
        <v>0</v>
      </c>
      <c r="K90" s="935">
        <v>0</v>
      </c>
      <c r="L90" s="935">
        <v>28846</v>
      </c>
      <c r="M90" s="935">
        <v>0</v>
      </c>
      <c r="N90" s="935">
        <v>0</v>
      </c>
      <c r="O90" s="935">
        <v>0</v>
      </c>
      <c r="P90" s="935">
        <v>0</v>
      </c>
      <c r="Q90" s="935">
        <v>0</v>
      </c>
      <c r="R90" s="935">
        <v>0</v>
      </c>
      <c r="S90" s="935">
        <v>0</v>
      </c>
      <c r="T90" s="935">
        <v>0</v>
      </c>
      <c r="U90" s="935">
        <f t="shared" si="20"/>
        <v>652982.25</v>
      </c>
    </row>
    <row r="91" spans="1:21" x14ac:dyDescent="0.2">
      <c r="A91" s="2">
        <v>400</v>
      </c>
      <c r="B91" s="3" t="s">
        <v>140</v>
      </c>
      <c r="C91" s="935">
        <v>60630</v>
      </c>
      <c r="D91" s="935">
        <v>0</v>
      </c>
      <c r="E91" s="935">
        <v>0</v>
      </c>
      <c r="F91" s="935">
        <v>0</v>
      </c>
      <c r="G91" s="935">
        <v>0</v>
      </c>
      <c r="H91" s="935">
        <v>0</v>
      </c>
      <c r="I91" s="935">
        <v>0</v>
      </c>
      <c r="J91" s="935">
        <v>0</v>
      </c>
      <c r="K91" s="935">
        <v>0</v>
      </c>
      <c r="L91" s="935">
        <v>0</v>
      </c>
      <c r="M91" s="935">
        <v>0</v>
      </c>
      <c r="N91" s="935">
        <v>0</v>
      </c>
      <c r="O91" s="935">
        <v>0</v>
      </c>
      <c r="P91" s="935">
        <v>0</v>
      </c>
      <c r="Q91" s="935">
        <v>0</v>
      </c>
      <c r="R91" s="935">
        <v>0</v>
      </c>
      <c r="S91" s="935">
        <v>0</v>
      </c>
      <c r="T91" s="935">
        <v>0</v>
      </c>
      <c r="U91" s="935">
        <f t="shared" si="20"/>
        <v>60630</v>
      </c>
    </row>
    <row r="92" spans="1:21" hidden="1" x14ac:dyDescent="0.2">
      <c r="A92" s="2" t="s">
        <v>10</v>
      </c>
      <c r="B92" s="3" t="s">
        <v>141</v>
      </c>
      <c r="C92" s="935">
        <v>0</v>
      </c>
      <c r="D92" s="935">
        <v>0</v>
      </c>
      <c r="E92" s="935">
        <v>0</v>
      </c>
      <c r="F92" s="935">
        <v>0</v>
      </c>
      <c r="G92" s="935">
        <v>0</v>
      </c>
      <c r="H92" s="935">
        <v>0</v>
      </c>
      <c r="I92" s="935">
        <v>0</v>
      </c>
      <c r="J92" s="935">
        <v>0</v>
      </c>
      <c r="K92" s="935">
        <v>0</v>
      </c>
      <c r="L92" s="935">
        <v>0</v>
      </c>
      <c r="M92" s="935">
        <v>0</v>
      </c>
      <c r="N92" s="935">
        <v>0</v>
      </c>
      <c r="O92" s="935">
        <v>0</v>
      </c>
      <c r="P92" s="935">
        <v>0</v>
      </c>
      <c r="Q92" s="935">
        <v>0</v>
      </c>
      <c r="R92" s="935">
        <v>0</v>
      </c>
      <c r="S92" s="935">
        <v>0</v>
      </c>
      <c r="T92" s="935">
        <v>0</v>
      </c>
      <c r="U92" s="935">
        <f t="shared" si="20"/>
        <v>0</v>
      </c>
    </row>
    <row r="93" spans="1:21" hidden="1" x14ac:dyDescent="0.2">
      <c r="A93" s="2" t="s">
        <v>10</v>
      </c>
      <c r="B93" s="3" t="s">
        <v>142</v>
      </c>
      <c r="C93" s="935">
        <v>0</v>
      </c>
      <c r="D93" s="935">
        <v>0</v>
      </c>
      <c r="E93" s="935">
        <v>0</v>
      </c>
      <c r="F93" s="935">
        <v>0</v>
      </c>
      <c r="G93" s="935">
        <v>0</v>
      </c>
      <c r="H93" s="935">
        <v>0</v>
      </c>
      <c r="I93" s="935">
        <v>0</v>
      </c>
      <c r="J93" s="935">
        <v>0</v>
      </c>
      <c r="K93" s="935">
        <v>0</v>
      </c>
      <c r="L93" s="935">
        <v>0</v>
      </c>
      <c r="M93" s="935">
        <v>0</v>
      </c>
      <c r="N93" s="935">
        <v>0</v>
      </c>
      <c r="O93" s="935">
        <v>0</v>
      </c>
      <c r="P93" s="935">
        <v>0</v>
      </c>
      <c r="Q93" s="935">
        <v>0</v>
      </c>
      <c r="R93" s="935">
        <v>0</v>
      </c>
      <c r="S93" s="935">
        <v>0</v>
      </c>
      <c r="T93" s="935">
        <v>0</v>
      </c>
      <c r="U93" s="935">
        <f t="shared" si="20"/>
        <v>0</v>
      </c>
    </row>
    <row r="94" spans="1:21" hidden="1" x14ac:dyDescent="0.2">
      <c r="A94" s="2">
        <v>430</v>
      </c>
      <c r="B94" s="3" t="s">
        <v>548</v>
      </c>
      <c r="C94" s="935">
        <v>0</v>
      </c>
      <c r="D94" s="935">
        <v>0</v>
      </c>
      <c r="E94" s="935">
        <v>0</v>
      </c>
      <c r="F94" s="935">
        <v>0</v>
      </c>
      <c r="G94" s="935">
        <v>0</v>
      </c>
      <c r="H94" s="935">
        <v>0</v>
      </c>
      <c r="I94" s="935">
        <v>0</v>
      </c>
      <c r="J94" s="935">
        <v>0</v>
      </c>
      <c r="K94" s="935">
        <v>0</v>
      </c>
      <c r="L94" s="935">
        <v>0</v>
      </c>
      <c r="M94" s="935">
        <v>0</v>
      </c>
      <c r="N94" s="935">
        <v>0</v>
      </c>
      <c r="O94" s="935">
        <v>0</v>
      </c>
      <c r="P94" s="935">
        <v>0</v>
      </c>
      <c r="Q94" s="935">
        <v>0</v>
      </c>
      <c r="R94" s="935">
        <v>0</v>
      </c>
      <c r="S94" s="935">
        <v>0</v>
      </c>
      <c r="T94" s="935">
        <v>0</v>
      </c>
      <c r="U94" s="935">
        <f t="shared" si="20"/>
        <v>0</v>
      </c>
    </row>
    <row r="95" spans="1:21" hidden="1" x14ac:dyDescent="0.2">
      <c r="A95" s="2">
        <v>440</v>
      </c>
      <c r="B95" s="3" t="s">
        <v>143</v>
      </c>
      <c r="C95" s="935">
        <v>0</v>
      </c>
      <c r="D95" s="935">
        <v>0</v>
      </c>
      <c r="E95" s="935">
        <v>0</v>
      </c>
      <c r="F95" s="935">
        <v>0</v>
      </c>
      <c r="G95" s="935">
        <v>0</v>
      </c>
      <c r="H95" s="935">
        <v>0</v>
      </c>
      <c r="I95" s="935">
        <v>0</v>
      </c>
      <c r="J95" s="935">
        <v>0</v>
      </c>
      <c r="K95" s="935">
        <v>0</v>
      </c>
      <c r="L95" s="935">
        <v>0</v>
      </c>
      <c r="M95" s="935">
        <v>0</v>
      </c>
      <c r="N95" s="935">
        <v>0</v>
      </c>
      <c r="O95" s="935">
        <v>0</v>
      </c>
      <c r="P95" s="935">
        <v>0</v>
      </c>
      <c r="Q95" s="935">
        <v>0</v>
      </c>
      <c r="R95" s="935">
        <v>0</v>
      </c>
      <c r="S95" s="935">
        <v>0</v>
      </c>
      <c r="T95" s="935">
        <v>0</v>
      </c>
      <c r="U95" s="935">
        <f t="shared" si="20"/>
        <v>0</v>
      </c>
    </row>
    <row r="96" spans="1:21" hidden="1" x14ac:dyDescent="0.2">
      <c r="A96" s="2">
        <v>500</v>
      </c>
      <c r="B96" s="3" t="s">
        <v>144</v>
      </c>
      <c r="C96" s="935">
        <v>0</v>
      </c>
      <c r="D96" s="935">
        <v>0</v>
      </c>
      <c r="E96" s="935">
        <v>0</v>
      </c>
      <c r="F96" s="935">
        <v>0</v>
      </c>
      <c r="G96" s="935">
        <v>0</v>
      </c>
      <c r="H96" s="935">
        <v>0</v>
      </c>
      <c r="I96" s="935">
        <v>0</v>
      </c>
      <c r="J96" s="935">
        <v>0</v>
      </c>
      <c r="K96" s="935">
        <v>0</v>
      </c>
      <c r="L96" s="935">
        <v>0</v>
      </c>
      <c r="M96" s="935">
        <v>0</v>
      </c>
      <c r="N96" s="935">
        <v>0</v>
      </c>
      <c r="O96" s="935">
        <v>0</v>
      </c>
      <c r="P96" s="935">
        <v>0</v>
      </c>
      <c r="Q96" s="935">
        <v>0</v>
      </c>
      <c r="R96" s="935">
        <v>0</v>
      </c>
      <c r="S96" s="935">
        <v>0</v>
      </c>
      <c r="T96" s="935">
        <v>0</v>
      </c>
      <c r="U96" s="935">
        <f t="shared" si="20"/>
        <v>0</v>
      </c>
    </row>
    <row r="97" spans="1:23" hidden="1" x14ac:dyDescent="0.2">
      <c r="A97" s="2">
        <v>600</v>
      </c>
      <c r="B97" s="3" t="s">
        <v>145</v>
      </c>
      <c r="C97" s="935">
        <v>0</v>
      </c>
      <c r="D97" s="935">
        <v>0</v>
      </c>
      <c r="E97" s="935">
        <v>0</v>
      </c>
      <c r="F97" s="935">
        <v>0</v>
      </c>
      <c r="G97" s="935">
        <v>0</v>
      </c>
      <c r="H97" s="935">
        <v>0</v>
      </c>
      <c r="I97" s="935">
        <v>0</v>
      </c>
      <c r="J97" s="935">
        <v>0</v>
      </c>
      <c r="K97" s="935">
        <v>0</v>
      </c>
      <c r="L97" s="935">
        <v>0</v>
      </c>
      <c r="M97" s="935">
        <v>0</v>
      </c>
      <c r="N97" s="935">
        <v>0</v>
      </c>
      <c r="O97" s="935">
        <v>0</v>
      </c>
      <c r="P97" s="935">
        <v>0</v>
      </c>
      <c r="Q97" s="935">
        <v>0</v>
      </c>
      <c r="R97" s="935">
        <v>0</v>
      </c>
      <c r="S97" s="935">
        <v>0</v>
      </c>
      <c r="T97" s="935">
        <v>0</v>
      </c>
      <c r="U97" s="935">
        <f t="shared" si="20"/>
        <v>0</v>
      </c>
    </row>
    <row r="98" spans="1:23" hidden="1" x14ac:dyDescent="0.2">
      <c r="A98" s="2">
        <v>800</v>
      </c>
      <c r="B98" s="3" t="s">
        <v>146</v>
      </c>
      <c r="C98" s="935">
        <v>0</v>
      </c>
      <c r="D98" s="935">
        <v>0</v>
      </c>
      <c r="E98" s="935">
        <v>0</v>
      </c>
      <c r="F98" s="935">
        <v>0</v>
      </c>
      <c r="G98" s="935">
        <v>0</v>
      </c>
      <c r="H98" s="935">
        <v>0</v>
      </c>
      <c r="I98" s="935">
        <v>0</v>
      </c>
      <c r="J98" s="935">
        <v>0</v>
      </c>
      <c r="K98" s="935">
        <v>0</v>
      </c>
      <c r="L98" s="935">
        <v>0</v>
      </c>
      <c r="M98" s="935">
        <v>0</v>
      </c>
      <c r="N98" s="935">
        <v>0</v>
      </c>
      <c r="O98" s="935">
        <v>0</v>
      </c>
      <c r="P98" s="935">
        <v>0</v>
      </c>
      <c r="Q98" s="935">
        <v>0</v>
      </c>
      <c r="R98" s="935">
        <v>0</v>
      </c>
      <c r="S98" s="935">
        <v>0</v>
      </c>
      <c r="T98" s="935">
        <v>0</v>
      </c>
      <c r="U98" s="935">
        <f t="shared" si="20"/>
        <v>0</v>
      </c>
    </row>
    <row r="99" spans="1:23" x14ac:dyDescent="0.2">
      <c r="A99" s="2">
        <v>910</v>
      </c>
      <c r="B99" s="3" t="s">
        <v>147</v>
      </c>
      <c r="C99" s="935">
        <v>59175</v>
      </c>
      <c r="D99" s="935">
        <v>0</v>
      </c>
      <c r="E99" s="935">
        <v>0</v>
      </c>
      <c r="F99" s="935">
        <v>0</v>
      </c>
      <c r="G99" s="935">
        <v>0</v>
      </c>
      <c r="H99" s="935">
        <v>0</v>
      </c>
      <c r="I99" s="935">
        <v>0</v>
      </c>
      <c r="J99" s="935">
        <v>0</v>
      </c>
      <c r="K99" s="935">
        <v>0</v>
      </c>
      <c r="L99" s="935">
        <v>0</v>
      </c>
      <c r="M99" s="935">
        <v>0</v>
      </c>
      <c r="N99" s="935">
        <v>0</v>
      </c>
      <c r="O99" s="935">
        <v>0</v>
      </c>
      <c r="P99" s="935">
        <v>0</v>
      </c>
      <c r="Q99" s="935">
        <v>0</v>
      </c>
      <c r="R99" s="935">
        <v>0</v>
      </c>
      <c r="S99" s="935">
        <v>0</v>
      </c>
      <c r="T99" s="935">
        <v>0</v>
      </c>
      <c r="U99" s="935">
        <f t="shared" si="20"/>
        <v>59175</v>
      </c>
    </row>
    <row r="100" spans="1:23" x14ac:dyDescent="0.2">
      <c r="A100" s="2">
        <v>920</v>
      </c>
      <c r="B100" s="3" t="s">
        <v>148</v>
      </c>
      <c r="C100" s="935">
        <v>284780</v>
      </c>
      <c r="D100" s="935">
        <v>0</v>
      </c>
      <c r="E100" s="935">
        <v>0</v>
      </c>
      <c r="F100" s="935">
        <v>0</v>
      </c>
      <c r="G100" s="935">
        <v>0</v>
      </c>
      <c r="H100" s="935">
        <v>0</v>
      </c>
      <c r="I100" s="935">
        <v>0</v>
      </c>
      <c r="J100" s="935">
        <v>0</v>
      </c>
      <c r="K100" s="935">
        <v>0</v>
      </c>
      <c r="L100" s="935">
        <v>0</v>
      </c>
      <c r="M100" s="935">
        <v>0</v>
      </c>
      <c r="N100" s="935">
        <v>0</v>
      </c>
      <c r="O100" s="935">
        <v>0</v>
      </c>
      <c r="P100" s="935">
        <v>0</v>
      </c>
      <c r="Q100" s="935">
        <v>0</v>
      </c>
      <c r="R100" s="935">
        <v>0</v>
      </c>
      <c r="S100" s="935">
        <v>0</v>
      </c>
      <c r="T100" s="935">
        <v>0</v>
      </c>
      <c r="U100" s="935">
        <f t="shared" si="20"/>
        <v>284780</v>
      </c>
    </row>
    <row r="101" spans="1:23" x14ac:dyDescent="0.2">
      <c r="C101" s="935"/>
      <c r="D101" s="935"/>
      <c r="E101" s="935"/>
      <c r="F101" s="935"/>
      <c r="G101" s="935"/>
      <c r="H101" s="935"/>
      <c r="I101" s="935"/>
      <c r="J101" s="935"/>
      <c r="K101" s="935"/>
      <c r="L101" s="935"/>
      <c r="M101" s="935"/>
      <c r="N101" s="935"/>
      <c r="O101" s="935"/>
      <c r="P101" s="935"/>
      <c r="Q101" s="935"/>
      <c r="R101" s="935"/>
      <c r="S101" s="935"/>
      <c r="T101" s="935"/>
      <c r="U101" s="935"/>
    </row>
    <row r="102" spans="1:23" x14ac:dyDescent="0.2">
      <c r="A102" s="2" t="s">
        <v>149</v>
      </c>
      <c r="B102" s="2" t="s">
        <v>150</v>
      </c>
      <c r="C102" s="935"/>
      <c r="D102" s="935"/>
      <c r="E102" s="935"/>
      <c r="F102" s="935"/>
      <c r="G102" s="935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  <c r="U102" s="935"/>
    </row>
    <row r="103" spans="1:23" x14ac:dyDescent="0.2">
      <c r="A103" s="2">
        <v>2000</v>
      </c>
      <c r="B103" s="3" t="s">
        <v>444</v>
      </c>
      <c r="C103" s="935">
        <v>362810</v>
      </c>
      <c r="D103" s="935">
        <v>0</v>
      </c>
      <c r="E103" s="935">
        <v>48215</v>
      </c>
      <c r="F103" s="935">
        <v>0</v>
      </c>
      <c r="G103" s="935">
        <v>0</v>
      </c>
      <c r="H103" s="935">
        <v>0</v>
      </c>
      <c r="I103" s="935">
        <v>47235</v>
      </c>
      <c r="J103" s="935">
        <v>0</v>
      </c>
      <c r="K103" s="935">
        <v>0</v>
      </c>
      <c r="L103" s="935">
        <v>0</v>
      </c>
      <c r="M103" s="935">
        <v>0</v>
      </c>
      <c r="N103" s="935">
        <v>0</v>
      </c>
      <c r="O103" s="935">
        <v>0</v>
      </c>
      <c r="P103" s="935">
        <v>0</v>
      </c>
      <c r="Q103" s="935">
        <v>0</v>
      </c>
      <c r="R103" s="935">
        <v>0</v>
      </c>
      <c r="S103" s="935">
        <v>0</v>
      </c>
      <c r="T103" s="935">
        <v>0</v>
      </c>
      <c r="U103" s="935">
        <f t="shared" si="20"/>
        <v>458260</v>
      </c>
    </row>
    <row r="104" spans="1:23" x14ac:dyDescent="0.2">
      <c r="A104" s="2">
        <v>2100</v>
      </c>
      <c r="B104" s="3" t="s">
        <v>151</v>
      </c>
      <c r="C104" s="935">
        <v>0</v>
      </c>
      <c r="D104" s="935">
        <v>0</v>
      </c>
      <c r="E104" s="935">
        <v>2500</v>
      </c>
      <c r="F104" s="935">
        <v>0</v>
      </c>
      <c r="G104" s="935">
        <v>0</v>
      </c>
      <c r="H104" s="935">
        <v>0</v>
      </c>
      <c r="I104" s="935">
        <v>226022.25</v>
      </c>
      <c r="J104" s="935">
        <v>0</v>
      </c>
      <c r="K104" s="935">
        <v>0</v>
      </c>
      <c r="L104" s="935">
        <v>55636</v>
      </c>
      <c r="M104" s="935">
        <v>0</v>
      </c>
      <c r="N104" s="935">
        <v>0</v>
      </c>
      <c r="O104" s="935">
        <v>0</v>
      </c>
      <c r="P104" s="935">
        <v>0</v>
      </c>
      <c r="Q104" s="935">
        <v>0</v>
      </c>
      <c r="R104" s="935">
        <v>0</v>
      </c>
      <c r="S104" s="935">
        <v>0</v>
      </c>
      <c r="T104" s="935">
        <v>0</v>
      </c>
      <c r="U104" s="935">
        <f t="shared" si="20"/>
        <v>284158.25</v>
      </c>
    </row>
    <row r="105" spans="1:23" x14ac:dyDescent="0.2">
      <c r="A105" s="2">
        <v>2200</v>
      </c>
      <c r="B105" s="3" t="s">
        <v>152</v>
      </c>
      <c r="C105" s="935">
        <v>1035254</v>
      </c>
      <c r="D105" s="935">
        <v>0</v>
      </c>
      <c r="E105" s="935">
        <v>0</v>
      </c>
      <c r="F105" s="935">
        <v>0</v>
      </c>
      <c r="G105" s="935">
        <v>0</v>
      </c>
      <c r="H105" s="935">
        <v>0</v>
      </c>
      <c r="I105" s="935">
        <v>59363</v>
      </c>
      <c r="J105" s="935">
        <v>0</v>
      </c>
      <c r="K105" s="935">
        <v>0</v>
      </c>
      <c r="L105" s="935">
        <v>32783</v>
      </c>
      <c r="M105" s="935">
        <v>0</v>
      </c>
      <c r="N105" s="935">
        <v>0</v>
      </c>
      <c r="O105" s="935">
        <v>0</v>
      </c>
      <c r="P105" s="935">
        <v>0</v>
      </c>
      <c r="Q105" s="935">
        <v>0</v>
      </c>
      <c r="R105" s="935">
        <v>0</v>
      </c>
      <c r="S105" s="935">
        <v>0</v>
      </c>
      <c r="T105" s="935">
        <v>0</v>
      </c>
      <c r="U105" s="935">
        <f t="shared" si="20"/>
        <v>1127400</v>
      </c>
      <c r="V105" s="4"/>
      <c r="W105" s="3" t="s">
        <v>0</v>
      </c>
    </row>
    <row r="106" spans="1:23" x14ac:dyDescent="0.2">
      <c r="A106" s="2">
        <v>2300</v>
      </c>
      <c r="B106" s="3" t="s">
        <v>153</v>
      </c>
      <c r="C106" s="935">
        <v>881424</v>
      </c>
      <c r="D106" s="935">
        <v>0</v>
      </c>
      <c r="E106" s="935">
        <v>25990</v>
      </c>
      <c r="F106" s="935">
        <v>0</v>
      </c>
      <c r="G106" s="935">
        <v>0</v>
      </c>
      <c r="H106" s="935">
        <v>0</v>
      </c>
      <c r="I106" s="935">
        <v>0</v>
      </c>
      <c r="J106" s="935">
        <v>0</v>
      </c>
      <c r="K106" s="935">
        <v>0</v>
      </c>
      <c r="L106" s="935">
        <v>0</v>
      </c>
      <c r="M106" s="935">
        <v>0</v>
      </c>
      <c r="N106" s="935">
        <v>0</v>
      </c>
      <c r="O106" s="935">
        <v>0</v>
      </c>
      <c r="P106" s="935">
        <v>0</v>
      </c>
      <c r="Q106" s="935">
        <v>0</v>
      </c>
      <c r="R106" s="935">
        <v>0</v>
      </c>
      <c r="S106" s="935">
        <v>0</v>
      </c>
      <c r="T106" s="935">
        <v>0</v>
      </c>
      <c r="U106" s="935">
        <f t="shared" si="20"/>
        <v>907414</v>
      </c>
      <c r="V106" s="523"/>
      <c r="W106" s="17">
        <f>SUM(C106:C107,F106:F107,G106:G107,I106:I107,J106:J107,M106:M107)</f>
        <v>1757189</v>
      </c>
    </row>
    <row r="107" spans="1:23" x14ac:dyDescent="0.2">
      <c r="A107" s="2">
        <v>2400</v>
      </c>
      <c r="B107" s="3" t="s">
        <v>154</v>
      </c>
      <c r="C107" s="935">
        <v>875765</v>
      </c>
      <c r="D107" s="935">
        <v>0</v>
      </c>
      <c r="E107" s="935">
        <v>0</v>
      </c>
      <c r="F107" s="935">
        <v>0</v>
      </c>
      <c r="G107" s="935">
        <v>0</v>
      </c>
      <c r="H107" s="935">
        <v>0</v>
      </c>
      <c r="I107" s="935">
        <v>0</v>
      </c>
      <c r="J107" s="935">
        <v>0</v>
      </c>
      <c r="K107" s="935">
        <v>0</v>
      </c>
      <c r="L107" s="935">
        <v>0</v>
      </c>
      <c r="M107" s="935">
        <v>0</v>
      </c>
      <c r="N107" s="935">
        <v>0</v>
      </c>
      <c r="O107" s="935">
        <v>0</v>
      </c>
      <c r="P107" s="935">
        <v>0</v>
      </c>
      <c r="Q107" s="935">
        <v>0</v>
      </c>
      <c r="R107" s="935">
        <v>0</v>
      </c>
      <c r="S107" s="935">
        <v>0</v>
      </c>
      <c r="T107" s="935">
        <v>0</v>
      </c>
      <c r="U107" s="935">
        <f t="shared" si="20"/>
        <v>875765</v>
      </c>
      <c r="V107" s="945"/>
      <c r="W107" s="533">
        <f>W106/SUM(C80,F80,G80,I80,J80,M80)</f>
        <v>6.5136205841188469E-2</v>
      </c>
    </row>
    <row r="108" spans="1:23" x14ac:dyDescent="0.2">
      <c r="A108" s="2">
        <v>2500</v>
      </c>
      <c r="B108" s="3" t="s">
        <v>155</v>
      </c>
      <c r="C108" s="935">
        <v>487821</v>
      </c>
      <c r="D108" s="935">
        <v>0</v>
      </c>
      <c r="E108" s="935">
        <v>0</v>
      </c>
      <c r="F108" s="935">
        <v>0</v>
      </c>
      <c r="G108" s="935">
        <v>0</v>
      </c>
      <c r="H108" s="935">
        <v>0</v>
      </c>
      <c r="I108" s="935">
        <v>0</v>
      </c>
      <c r="J108" s="935">
        <v>0</v>
      </c>
      <c r="K108" s="935">
        <v>0</v>
      </c>
      <c r="L108" s="935">
        <v>0</v>
      </c>
      <c r="M108" s="935">
        <v>0</v>
      </c>
      <c r="N108" s="935">
        <v>0</v>
      </c>
      <c r="O108" s="935">
        <v>0</v>
      </c>
      <c r="P108" s="935">
        <v>25021</v>
      </c>
      <c r="Q108" s="935">
        <v>243177</v>
      </c>
      <c r="R108" s="935">
        <v>0</v>
      </c>
      <c r="S108" s="935">
        <v>0</v>
      </c>
      <c r="T108" s="935">
        <v>0</v>
      </c>
      <c r="U108" s="935">
        <f t="shared" si="20"/>
        <v>756019</v>
      </c>
    </row>
    <row r="109" spans="1:23" x14ac:dyDescent="0.2">
      <c r="A109" s="2">
        <v>2600</v>
      </c>
      <c r="B109" s="3" t="s">
        <v>156</v>
      </c>
      <c r="C109" s="935">
        <v>1646922</v>
      </c>
      <c r="D109" s="935">
        <v>0</v>
      </c>
      <c r="E109" s="935">
        <v>301626</v>
      </c>
      <c r="F109" s="935">
        <v>0</v>
      </c>
      <c r="G109" s="935">
        <v>0</v>
      </c>
      <c r="H109" s="935">
        <v>0</v>
      </c>
      <c r="I109" s="935">
        <v>0</v>
      </c>
      <c r="J109" s="935">
        <v>0</v>
      </c>
      <c r="K109" s="935">
        <v>703682</v>
      </c>
      <c r="L109" s="935">
        <v>0</v>
      </c>
      <c r="M109" s="935">
        <v>0</v>
      </c>
      <c r="N109" s="935">
        <v>75000</v>
      </c>
      <c r="O109" s="935">
        <v>100000</v>
      </c>
      <c r="P109" s="935">
        <v>106425</v>
      </c>
      <c r="Q109" s="935">
        <v>0</v>
      </c>
      <c r="R109" s="935">
        <v>0</v>
      </c>
      <c r="S109" s="935">
        <v>0</v>
      </c>
      <c r="T109" s="935">
        <v>0</v>
      </c>
      <c r="U109" s="935">
        <f t="shared" si="20"/>
        <v>2933655</v>
      </c>
    </row>
    <row r="110" spans="1:23" x14ac:dyDescent="0.2">
      <c r="A110" s="2">
        <v>2700</v>
      </c>
      <c r="B110" s="3" t="s">
        <v>157</v>
      </c>
      <c r="C110" s="935">
        <v>403203</v>
      </c>
      <c r="D110" s="935">
        <v>0</v>
      </c>
      <c r="E110" s="935">
        <v>0</v>
      </c>
      <c r="F110" s="935">
        <v>0</v>
      </c>
      <c r="G110" s="935">
        <v>0</v>
      </c>
      <c r="H110" s="935">
        <v>0</v>
      </c>
      <c r="I110" s="935">
        <v>0</v>
      </c>
      <c r="J110" s="935">
        <v>0</v>
      </c>
      <c r="K110" s="935">
        <v>0</v>
      </c>
      <c r="L110" s="935">
        <v>0</v>
      </c>
      <c r="M110" s="935">
        <v>0</v>
      </c>
      <c r="N110" s="935">
        <v>237700</v>
      </c>
      <c r="O110" s="935">
        <v>0</v>
      </c>
      <c r="P110" s="935">
        <v>0</v>
      </c>
      <c r="Q110" s="935">
        <v>0</v>
      </c>
      <c r="R110" s="935">
        <v>0</v>
      </c>
      <c r="S110" s="935">
        <v>0</v>
      </c>
      <c r="T110" s="935">
        <v>0</v>
      </c>
      <c r="U110" s="935">
        <f t="shared" si="20"/>
        <v>640903</v>
      </c>
    </row>
    <row r="111" spans="1:23" x14ac:dyDescent="0.2">
      <c r="A111" s="2">
        <v>2800</v>
      </c>
      <c r="B111" s="3" t="s">
        <v>646</v>
      </c>
      <c r="C111" s="935">
        <v>41987</v>
      </c>
      <c r="D111" s="935">
        <v>0</v>
      </c>
      <c r="E111" s="935">
        <v>0</v>
      </c>
      <c r="F111" s="935">
        <v>0</v>
      </c>
      <c r="G111" s="935">
        <v>0</v>
      </c>
      <c r="H111" s="935">
        <v>0</v>
      </c>
      <c r="I111" s="935">
        <v>983</v>
      </c>
      <c r="J111" s="935">
        <v>0</v>
      </c>
      <c r="K111" s="935">
        <v>0</v>
      </c>
      <c r="L111" s="935">
        <v>0</v>
      </c>
      <c r="M111" s="935">
        <v>0</v>
      </c>
      <c r="N111" s="935">
        <v>0</v>
      </c>
      <c r="O111" s="935">
        <v>0</v>
      </c>
      <c r="P111" s="935">
        <v>0</v>
      </c>
      <c r="Q111" s="935">
        <v>0</v>
      </c>
      <c r="R111" s="935">
        <v>0</v>
      </c>
      <c r="S111" s="935">
        <v>0</v>
      </c>
      <c r="T111" s="935">
        <v>0</v>
      </c>
      <c r="U111" s="935">
        <f t="shared" si="20"/>
        <v>42970</v>
      </c>
    </row>
    <row r="112" spans="1:23" x14ac:dyDescent="0.2">
      <c r="A112" s="2">
        <v>2900</v>
      </c>
      <c r="B112" s="3" t="s">
        <v>158</v>
      </c>
      <c r="C112" s="935">
        <v>368794</v>
      </c>
      <c r="D112" s="935">
        <v>0</v>
      </c>
      <c r="E112" s="935">
        <v>0</v>
      </c>
      <c r="F112" s="935">
        <v>0</v>
      </c>
      <c r="G112" s="935">
        <v>0</v>
      </c>
      <c r="H112" s="935">
        <v>0</v>
      </c>
      <c r="I112" s="935">
        <v>0</v>
      </c>
      <c r="J112" s="935">
        <v>0</v>
      </c>
      <c r="K112" s="935">
        <v>0</v>
      </c>
      <c r="L112" s="935">
        <v>0</v>
      </c>
      <c r="M112" s="935">
        <v>0</v>
      </c>
      <c r="N112" s="935">
        <v>0</v>
      </c>
      <c r="O112" s="935">
        <v>0</v>
      </c>
      <c r="P112" s="935">
        <v>0</v>
      </c>
      <c r="Q112" s="935">
        <v>0</v>
      </c>
      <c r="R112" s="935">
        <v>0</v>
      </c>
      <c r="S112" s="935">
        <v>0</v>
      </c>
      <c r="T112" s="935">
        <v>0</v>
      </c>
      <c r="U112" s="935">
        <f t="shared" si="20"/>
        <v>368794</v>
      </c>
    </row>
    <row r="113" spans="1:21" hidden="1" x14ac:dyDescent="0.2">
      <c r="A113" s="2">
        <v>3000</v>
      </c>
      <c r="B113" s="3" t="s">
        <v>159</v>
      </c>
      <c r="C113" s="935">
        <v>0</v>
      </c>
      <c r="D113" s="935">
        <v>0</v>
      </c>
      <c r="E113" s="935">
        <v>0</v>
      </c>
      <c r="F113" s="935">
        <v>0</v>
      </c>
      <c r="G113" s="935">
        <v>0</v>
      </c>
      <c r="H113" s="935">
        <v>0</v>
      </c>
      <c r="I113" s="935">
        <v>0</v>
      </c>
      <c r="J113" s="935">
        <v>0</v>
      </c>
      <c r="K113" s="935">
        <v>0</v>
      </c>
      <c r="L113" s="935">
        <v>0</v>
      </c>
      <c r="M113" s="935">
        <v>0</v>
      </c>
      <c r="N113" s="935">
        <v>0</v>
      </c>
      <c r="O113" s="935">
        <v>0</v>
      </c>
      <c r="P113" s="935">
        <v>0</v>
      </c>
      <c r="Q113" s="935">
        <v>0</v>
      </c>
      <c r="R113" s="935">
        <v>0</v>
      </c>
      <c r="S113" s="935">
        <v>0</v>
      </c>
      <c r="T113" s="935">
        <v>0</v>
      </c>
      <c r="U113" s="935">
        <f t="shared" si="20"/>
        <v>0</v>
      </c>
    </row>
    <row r="114" spans="1:21" x14ac:dyDescent="0.2">
      <c r="A114" s="2">
        <v>3100</v>
      </c>
      <c r="B114" s="3" t="s">
        <v>160</v>
      </c>
      <c r="C114" s="935">
        <v>0</v>
      </c>
      <c r="D114" s="935">
        <v>0</v>
      </c>
      <c r="E114" s="935">
        <v>9748</v>
      </c>
      <c r="F114" s="935">
        <v>0</v>
      </c>
      <c r="G114" s="935">
        <v>0</v>
      </c>
      <c r="H114" s="935">
        <v>0</v>
      </c>
      <c r="I114" s="935">
        <v>0</v>
      </c>
      <c r="J114" s="935">
        <v>0</v>
      </c>
      <c r="K114" s="935">
        <v>0</v>
      </c>
      <c r="L114" s="935">
        <v>0</v>
      </c>
      <c r="M114" s="935">
        <v>367635</v>
      </c>
      <c r="N114" s="935">
        <v>0</v>
      </c>
      <c r="O114" s="935">
        <v>0</v>
      </c>
      <c r="P114" s="935">
        <v>0</v>
      </c>
      <c r="Q114" s="935">
        <v>0</v>
      </c>
      <c r="R114" s="935">
        <v>0</v>
      </c>
      <c r="S114" s="935">
        <v>0</v>
      </c>
      <c r="T114" s="935">
        <v>0</v>
      </c>
      <c r="U114" s="935">
        <f t="shared" si="20"/>
        <v>377383</v>
      </c>
    </row>
    <row r="115" spans="1:21" hidden="1" x14ac:dyDescent="0.2">
      <c r="A115" s="2">
        <v>3200</v>
      </c>
      <c r="B115" s="3" t="s">
        <v>161</v>
      </c>
      <c r="C115" s="935">
        <v>0</v>
      </c>
      <c r="D115" s="935">
        <v>0</v>
      </c>
      <c r="E115" s="935">
        <v>0</v>
      </c>
      <c r="F115" s="935">
        <v>0</v>
      </c>
      <c r="G115" s="935">
        <v>0</v>
      </c>
      <c r="H115" s="935">
        <v>0</v>
      </c>
      <c r="I115" s="935">
        <v>0</v>
      </c>
      <c r="J115" s="935">
        <v>0</v>
      </c>
      <c r="K115" s="935">
        <v>0</v>
      </c>
      <c r="L115" s="935">
        <v>0</v>
      </c>
      <c r="M115" s="935">
        <v>0</v>
      </c>
      <c r="N115" s="935">
        <v>0</v>
      </c>
      <c r="O115" s="935">
        <v>0</v>
      </c>
      <c r="P115" s="935">
        <v>0</v>
      </c>
      <c r="Q115" s="935">
        <v>0</v>
      </c>
      <c r="R115" s="935">
        <v>0</v>
      </c>
      <c r="S115" s="935">
        <v>0</v>
      </c>
      <c r="T115" s="935">
        <v>0</v>
      </c>
      <c r="U115" s="935">
        <f t="shared" si="20"/>
        <v>0</v>
      </c>
    </row>
    <row r="116" spans="1:21" x14ac:dyDescent="0.2">
      <c r="A116" s="2">
        <v>3300</v>
      </c>
      <c r="B116" s="3" t="s">
        <v>162</v>
      </c>
      <c r="C116" s="935">
        <v>0</v>
      </c>
      <c r="D116" s="935">
        <v>0</v>
      </c>
      <c r="E116" s="935">
        <v>0</v>
      </c>
      <c r="F116" s="935">
        <v>0</v>
      </c>
      <c r="G116" s="935">
        <v>0</v>
      </c>
      <c r="H116" s="935">
        <v>0</v>
      </c>
      <c r="I116" s="935">
        <v>0</v>
      </c>
      <c r="J116" s="935">
        <v>0</v>
      </c>
      <c r="K116" s="935">
        <v>0</v>
      </c>
      <c r="L116" s="935">
        <v>1173</v>
      </c>
      <c r="M116" s="935">
        <v>0</v>
      </c>
      <c r="N116" s="935">
        <v>0</v>
      </c>
      <c r="O116" s="935">
        <v>0</v>
      </c>
      <c r="P116" s="935">
        <v>0</v>
      </c>
      <c r="Q116" s="935">
        <v>0</v>
      </c>
      <c r="R116" s="935">
        <v>0</v>
      </c>
      <c r="S116" s="935">
        <v>0</v>
      </c>
      <c r="T116" s="935">
        <v>0</v>
      </c>
      <c r="U116" s="935">
        <f t="shared" si="20"/>
        <v>1173</v>
      </c>
    </row>
    <row r="117" spans="1:21" hidden="1" x14ac:dyDescent="0.2">
      <c r="A117" s="2">
        <v>4000</v>
      </c>
      <c r="B117" s="3" t="s">
        <v>164</v>
      </c>
      <c r="C117" s="935">
        <v>0</v>
      </c>
      <c r="D117" s="935">
        <v>0</v>
      </c>
      <c r="E117" s="935">
        <v>0</v>
      </c>
      <c r="F117" s="935">
        <v>0</v>
      </c>
      <c r="G117" s="935">
        <v>0</v>
      </c>
      <c r="H117" s="935">
        <v>0</v>
      </c>
      <c r="I117" s="935">
        <v>0</v>
      </c>
      <c r="J117" s="935">
        <v>0</v>
      </c>
      <c r="K117" s="935">
        <v>0</v>
      </c>
      <c r="L117" s="935">
        <v>0</v>
      </c>
      <c r="M117" s="935">
        <v>0</v>
      </c>
      <c r="N117" s="935">
        <v>0</v>
      </c>
      <c r="O117" s="935">
        <v>0</v>
      </c>
      <c r="P117" s="935">
        <v>0</v>
      </c>
      <c r="Q117" s="935">
        <v>0</v>
      </c>
      <c r="R117" s="935">
        <v>0</v>
      </c>
      <c r="S117" s="935">
        <v>0</v>
      </c>
      <c r="T117" s="935">
        <v>0</v>
      </c>
      <c r="U117" s="935">
        <f t="shared" si="20"/>
        <v>0</v>
      </c>
    </row>
    <row r="118" spans="1:21" hidden="1" x14ac:dyDescent="0.2">
      <c r="A118" s="2">
        <v>4100</v>
      </c>
      <c r="B118" s="3" t="s">
        <v>163</v>
      </c>
      <c r="C118" s="935">
        <v>0</v>
      </c>
      <c r="D118" s="935">
        <v>0</v>
      </c>
      <c r="E118" s="935">
        <v>0</v>
      </c>
      <c r="F118" s="935">
        <v>0</v>
      </c>
      <c r="G118" s="935">
        <v>0</v>
      </c>
      <c r="H118" s="935">
        <v>0</v>
      </c>
      <c r="I118" s="935">
        <v>0</v>
      </c>
      <c r="J118" s="935">
        <v>0</v>
      </c>
      <c r="K118" s="935">
        <v>0</v>
      </c>
      <c r="L118" s="935">
        <v>0</v>
      </c>
      <c r="M118" s="935">
        <v>0</v>
      </c>
      <c r="N118" s="935">
        <v>0</v>
      </c>
      <c r="O118" s="935">
        <v>0</v>
      </c>
      <c r="P118" s="935">
        <v>0</v>
      </c>
      <c r="Q118" s="935">
        <v>0</v>
      </c>
      <c r="R118" s="935">
        <v>0</v>
      </c>
      <c r="S118" s="935">
        <v>0</v>
      </c>
      <c r="T118" s="935">
        <v>0</v>
      </c>
      <c r="U118" s="935">
        <f t="shared" si="20"/>
        <v>0</v>
      </c>
    </row>
    <row r="119" spans="1:21" hidden="1" x14ac:dyDescent="0.2">
      <c r="A119" s="2">
        <v>4200</v>
      </c>
      <c r="B119" s="3" t="s">
        <v>165</v>
      </c>
      <c r="C119" s="935">
        <v>0</v>
      </c>
      <c r="D119" s="935">
        <v>0</v>
      </c>
      <c r="E119" s="935">
        <v>0</v>
      </c>
      <c r="F119" s="935">
        <v>0</v>
      </c>
      <c r="G119" s="935">
        <v>0</v>
      </c>
      <c r="H119" s="935">
        <v>0</v>
      </c>
      <c r="I119" s="935">
        <v>0</v>
      </c>
      <c r="J119" s="935">
        <v>0</v>
      </c>
      <c r="K119" s="935">
        <v>0</v>
      </c>
      <c r="L119" s="935">
        <v>0</v>
      </c>
      <c r="M119" s="935">
        <v>0</v>
      </c>
      <c r="N119" s="935">
        <v>0</v>
      </c>
      <c r="O119" s="935">
        <v>0</v>
      </c>
      <c r="P119" s="935">
        <v>0</v>
      </c>
      <c r="Q119" s="935">
        <v>0</v>
      </c>
      <c r="R119" s="935">
        <v>0</v>
      </c>
      <c r="S119" s="935">
        <v>0</v>
      </c>
      <c r="T119" s="935">
        <v>0</v>
      </c>
      <c r="U119" s="935">
        <f t="shared" si="20"/>
        <v>0</v>
      </c>
    </row>
    <row r="120" spans="1:21" hidden="1" x14ac:dyDescent="0.2">
      <c r="A120" s="2">
        <v>4300</v>
      </c>
      <c r="B120" s="3" t="s">
        <v>166</v>
      </c>
      <c r="C120" s="935">
        <v>0</v>
      </c>
      <c r="D120" s="935">
        <v>0</v>
      </c>
      <c r="E120" s="935">
        <v>0</v>
      </c>
      <c r="F120" s="935">
        <v>0</v>
      </c>
      <c r="G120" s="935">
        <v>0</v>
      </c>
      <c r="H120" s="935">
        <v>0</v>
      </c>
      <c r="I120" s="935">
        <v>0</v>
      </c>
      <c r="J120" s="935">
        <v>0</v>
      </c>
      <c r="K120" s="935">
        <v>0</v>
      </c>
      <c r="L120" s="935">
        <v>0</v>
      </c>
      <c r="M120" s="935">
        <v>0</v>
      </c>
      <c r="N120" s="935">
        <v>0</v>
      </c>
      <c r="O120" s="935">
        <v>0</v>
      </c>
      <c r="P120" s="935">
        <v>0</v>
      </c>
      <c r="Q120" s="935">
        <v>0</v>
      </c>
      <c r="R120" s="935">
        <v>0</v>
      </c>
      <c r="S120" s="935">
        <v>0</v>
      </c>
      <c r="T120" s="935">
        <v>0</v>
      </c>
      <c r="U120" s="935">
        <f t="shared" si="20"/>
        <v>0</v>
      </c>
    </row>
    <row r="121" spans="1:21" hidden="1" x14ac:dyDescent="0.2">
      <c r="A121" s="2">
        <v>4400</v>
      </c>
      <c r="B121" s="3" t="s">
        <v>167</v>
      </c>
      <c r="C121" s="935">
        <v>0</v>
      </c>
      <c r="D121" s="935">
        <v>0</v>
      </c>
      <c r="E121" s="935">
        <v>0</v>
      </c>
      <c r="F121" s="935">
        <v>0</v>
      </c>
      <c r="G121" s="935">
        <v>0</v>
      </c>
      <c r="H121" s="935">
        <v>0</v>
      </c>
      <c r="I121" s="935">
        <v>0</v>
      </c>
      <c r="J121" s="935">
        <v>0</v>
      </c>
      <c r="K121" s="935">
        <v>0</v>
      </c>
      <c r="L121" s="935">
        <v>0</v>
      </c>
      <c r="M121" s="935">
        <v>0</v>
      </c>
      <c r="N121" s="935">
        <v>0</v>
      </c>
      <c r="O121" s="935">
        <v>0</v>
      </c>
      <c r="P121" s="935">
        <v>0</v>
      </c>
      <c r="Q121" s="935">
        <v>0</v>
      </c>
      <c r="R121" s="935">
        <v>0</v>
      </c>
      <c r="S121" s="935">
        <v>0</v>
      </c>
      <c r="T121" s="935">
        <v>0</v>
      </c>
      <c r="U121" s="935">
        <f t="shared" si="20"/>
        <v>0</v>
      </c>
    </row>
    <row r="122" spans="1:21" x14ac:dyDescent="0.2">
      <c r="A122" s="2">
        <v>4500</v>
      </c>
      <c r="B122" s="3" t="s">
        <v>168</v>
      </c>
      <c r="C122" s="935">
        <v>0</v>
      </c>
      <c r="D122" s="935">
        <v>0</v>
      </c>
      <c r="E122" s="935">
        <v>0</v>
      </c>
      <c r="F122" s="935">
        <v>0</v>
      </c>
      <c r="G122" s="935">
        <v>0</v>
      </c>
      <c r="H122" s="935">
        <v>0</v>
      </c>
      <c r="I122" s="935">
        <v>0</v>
      </c>
      <c r="J122" s="935">
        <v>0</v>
      </c>
      <c r="K122" s="935">
        <v>0</v>
      </c>
      <c r="L122" s="935">
        <v>0</v>
      </c>
      <c r="M122" s="935">
        <v>0</v>
      </c>
      <c r="N122" s="935">
        <v>0</v>
      </c>
      <c r="O122" s="935">
        <v>0</v>
      </c>
      <c r="P122" s="935">
        <v>100000</v>
      </c>
      <c r="Q122" s="935">
        <v>0</v>
      </c>
      <c r="R122" s="935">
        <v>0</v>
      </c>
      <c r="S122" s="935">
        <v>0</v>
      </c>
      <c r="T122" s="935">
        <v>0</v>
      </c>
      <c r="U122" s="935">
        <f t="shared" si="20"/>
        <v>100000</v>
      </c>
    </row>
    <row r="123" spans="1:21" x14ac:dyDescent="0.2">
      <c r="A123" s="2">
        <v>4600</v>
      </c>
      <c r="B123" s="3" t="s">
        <v>169</v>
      </c>
      <c r="C123" s="935">
        <v>0</v>
      </c>
      <c r="D123" s="935">
        <v>0</v>
      </c>
      <c r="E123" s="935">
        <v>72645</v>
      </c>
      <c r="F123" s="935">
        <v>0</v>
      </c>
      <c r="G123" s="935">
        <v>0</v>
      </c>
      <c r="H123" s="935">
        <v>0</v>
      </c>
      <c r="I123" s="935">
        <v>0</v>
      </c>
      <c r="J123" s="935">
        <v>0</v>
      </c>
      <c r="K123" s="935">
        <v>0</v>
      </c>
      <c r="L123" s="935">
        <v>0</v>
      </c>
      <c r="M123" s="935">
        <v>0</v>
      </c>
      <c r="N123" s="935">
        <v>0</v>
      </c>
      <c r="O123" s="935">
        <v>0</v>
      </c>
      <c r="P123" s="935">
        <v>35000</v>
      </c>
      <c r="Q123" s="935">
        <v>0</v>
      </c>
      <c r="R123" s="935">
        <v>0</v>
      </c>
      <c r="S123" s="935">
        <v>0</v>
      </c>
      <c r="T123" s="935">
        <v>0</v>
      </c>
      <c r="U123" s="935">
        <f t="shared" si="20"/>
        <v>107645</v>
      </c>
    </row>
    <row r="124" spans="1:21" x14ac:dyDescent="0.2">
      <c r="A124" s="2">
        <v>4700</v>
      </c>
      <c r="B124" s="3" t="s">
        <v>170</v>
      </c>
      <c r="C124" s="935">
        <v>0</v>
      </c>
      <c r="D124" s="935">
        <v>0</v>
      </c>
      <c r="E124" s="935">
        <v>239971</v>
      </c>
      <c r="F124" s="935">
        <v>0</v>
      </c>
      <c r="G124" s="935">
        <v>0</v>
      </c>
      <c r="H124" s="935">
        <v>0</v>
      </c>
      <c r="I124" s="935">
        <v>323287.25</v>
      </c>
      <c r="J124" s="935">
        <v>0</v>
      </c>
      <c r="K124" s="935">
        <v>0</v>
      </c>
      <c r="L124" s="935">
        <v>0</v>
      </c>
      <c r="M124" s="935">
        <v>0</v>
      </c>
      <c r="N124" s="935">
        <v>0</v>
      </c>
      <c r="O124" s="935">
        <v>0</v>
      </c>
      <c r="P124" s="935">
        <v>1092725</v>
      </c>
      <c r="Q124" s="935">
        <v>0</v>
      </c>
      <c r="R124" s="935">
        <v>0</v>
      </c>
      <c r="S124" s="935">
        <v>0</v>
      </c>
      <c r="T124" s="935">
        <v>0</v>
      </c>
      <c r="U124" s="935">
        <f t="shared" si="20"/>
        <v>1655983.25</v>
      </c>
    </row>
    <row r="125" spans="1:21" hidden="1" x14ac:dyDescent="0.2">
      <c r="A125" s="2">
        <v>4900</v>
      </c>
      <c r="B125" s="3" t="s">
        <v>171</v>
      </c>
      <c r="C125" s="935">
        <v>0</v>
      </c>
      <c r="D125" s="935">
        <v>0</v>
      </c>
      <c r="E125" s="935">
        <v>0</v>
      </c>
      <c r="F125" s="935">
        <v>0</v>
      </c>
      <c r="G125" s="935">
        <v>0</v>
      </c>
      <c r="H125" s="935">
        <v>0</v>
      </c>
      <c r="I125" s="935">
        <v>0</v>
      </c>
      <c r="J125" s="935">
        <v>0</v>
      </c>
      <c r="K125" s="935">
        <v>0</v>
      </c>
      <c r="L125" s="935">
        <v>0</v>
      </c>
      <c r="M125" s="935">
        <v>0</v>
      </c>
      <c r="N125" s="935">
        <v>0</v>
      </c>
      <c r="O125" s="935">
        <v>0</v>
      </c>
      <c r="P125" s="935">
        <v>0</v>
      </c>
      <c r="Q125" s="935">
        <v>0</v>
      </c>
      <c r="R125" s="935">
        <v>0</v>
      </c>
      <c r="S125" s="935">
        <v>0</v>
      </c>
      <c r="T125" s="935">
        <v>0</v>
      </c>
      <c r="U125" s="935">
        <f t="shared" si="20"/>
        <v>0</v>
      </c>
    </row>
    <row r="126" spans="1:21" x14ac:dyDescent="0.2">
      <c r="A126" s="2">
        <v>5000</v>
      </c>
      <c r="B126" s="3" t="s">
        <v>172</v>
      </c>
      <c r="C126" s="935">
        <v>0</v>
      </c>
      <c r="D126" s="935">
        <v>228092</v>
      </c>
      <c r="E126" s="935">
        <v>0</v>
      </c>
      <c r="F126" s="935">
        <v>0</v>
      </c>
      <c r="G126" s="935">
        <v>0</v>
      </c>
      <c r="H126" s="935">
        <v>0</v>
      </c>
      <c r="I126" s="935">
        <v>0</v>
      </c>
      <c r="J126" s="935">
        <v>0</v>
      </c>
      <c r="K126" s="935">
        <v>0</v>
      </c>
      <c r="L126" s="935">
        <v>0</v>
      </c>
      <c r="M126" s="935">
        <v>0</v>
      </c>
      <c r="N126" s="935">
        <v>0</v>
      </c>
      <c r="O126" s="935">
        <v>0</v>
      </c>
      <c r="P126" s="935">
        <v>0</v>
      </c>
      <c r="Q126" s="935">
        <v>0</v>
      </c>
      <c r="R126" s="935">
        <v>0</v>
      </c>
      <c r="S126" s="935">
        <v>0</v>
      </c>
      <c r="T126" s="935">
        <v>0</v>
      </c>
      <c r="U126" s="935">
        <f t="shared" si="20"/>
        <v>228092</v>
      </c>
    </row>
    <row r="127" spans="1:21" x14ac:dyDescent="0.2">
      <c r="A127" s="2">
        <v>5000</v>
      </c>
      <c r="B127" s="3" t="s">
        <v>173</v>
      </c>
      <c r="C127" s="935">
        <v>0</v>
      </c>
      <c r="D127" s="935">
        <v>0</v>
      </c>
      <c r="E127" s="935">
        <v>0</v>
      </c>
      <c r="F127" s="935">
        <v>0</v>
      </c>
      <c r="G127" s="935">
        <v>0</v>
      </c>
      <c r="H127" s="935">
        <v>0</v>
      </c>
      <c r="I127" s="935">
        <v>0</v>
      </c>
      <c r="J127" s="935">
        <v>0</v>
      </c>
      <c r="K127" s="935">
        <v>0</v>
      </c>
      <c r="L127" s="935">
        <v>0</v>
      </c>
      <c r="M127" s="935">
        <v>0</v>
      </c>
      <c r="N127" s="935">
        <v>0</v>
      </c>
      <c r="O127" s="935">
        <v>0</v>
      </c>
      <c r="P127" s="935">
        <v>0</v>
      </c>
      <c r="Q127" s="935">
        <v>0</v>
      </c>
      <c r="R127" s="935">
        <v>0</v>
      </c>
      <c r="S127" s="935">
        <v>0</v>
      </c>
      <c r="T127" s="935">
        <v>-228087</v>
      </c>
      <c r="U127" s="935">
        <f t="shared" si="20"/>
        <v>-228087</v>
      </c>
    </row>
    <row r="128" spans="1:21" hidden="1" x14ac:dyDescent="0.2">
      <c r="A128" s="2">
        <v>6100</v>
      </c>
      <c r="B128" s="3" t="s">
        <v>174</v>
      </c>
      <c r="C128" s="935">
        <v>0</v>
      </c>
      <c r="D128" s="935">
        <v>0</v>
      </c>
      <c r="E128" s="935">
        <v>0</v>
      </c>
      <c r="F128" s="935">
        <v>0</v>
      </c>
      <c r="G128" s="935">
        <v>0</v>
      </c>
      <c r="H128" s="935">
        <v>0</v>
      </c>
      <c r="I128" s="935">
        <v>0</v>
      </c>
      <c r="J128" s="935">
        <v>0</v>
      </c>
      <c r="K128" s="935">
        <v>0</v>
      </c>
      <c r="L128" s="935">
        <v>0</v>
      </c>
      <c r="M128" s="935">
        <v>0</v>
      </c>
      <c r="N128" s="935">
        <v>0</v>
      </c>
      <c r="O128" s="935">
        <v>0</v>
      </c>
      <c r="P128" s="935">
        <v>0</v>
      </c>
      <c r="Q128" s="935">
        <v>0</v>
      </c>
      <c r="R128" s="935">
        <v>0</v>
      </c>
      <c r="S128" s="935">
        <v>0</v>
      </c>
      <c r="T128" s="935">
        <v>0</v>
      </c>
      <c r="U128" s="935">
        <f t="shared" si="20"/>
        <v>0</v>
      </c>
    </row>
    <row r="129" spans="1:21" x14ac:dyDescent="0.2">
      <c r="A129" s="2">
        <v>6200</v>
      </c>
      <c r="B129" s="3" t="s">
        <v>175</v>
      </c>
      <c r="C129" s="935">
        <v>2163639</v>
      </c>
      <c r="D129" s="935">
        <v>0</v>
      </c>
      <c r="E129" s="935">
        <v>0</v>
      </c>
      <c r="F129" s="935">
        <v>0</v>
      </c>
      <c r="G129" s="935">
        <v>0</v>
      </c>
      <c r="H129" s="935">
        <v>0</v>
      </c>
      <c r="I129" s="935">
        <v>0</v>
      </c>
      <c r="J129" s="935">
        <v>0</v>
      </c>
      <c r="K129" s="935">
        <v>0</v>
      </c>
      <c r="L129" s="935">
        <v>0</v>
      </c>
      <c r="M129" s="935">
        <v>0</v>
      </c>
      <c r="N129" s="935">
        <v>0</v>
      </c>
      <c r="O129" s="935">
        <v>0</v>
      </c>
      <c r="P129" s="935">
        <v>0</v>
      </c>
      <c r="Q129" s="935">
        <v>0</v>
      </c>
      <c r="R129" s="935">
        <v>21442</v>
      </c>
      <c r="S129" s="935">
        <v>0</v>
      </c>
      <c r="T129" s="935">
        <v>0</v>
      </c>
      <c r="U129" s="935">
        <f t="shared" si="20"/>
        <v>2185081</v>
      </c>
    </row>
    <row r="130" spans="1:21" x14ac:dyDescent="0.2">
      <c r="A130" s="2">
        <v>6300</v>
      </c>
      <c r="B130" s="3" t="s">
        <v>176</v>
      </c>
      <c r="C130" s="935">
        <v>300000</v>
      </c>
      <c r="D130" s="935">
        <v>0</v>
      </c>
      <c r="E130" s="935">
        <v>0</v>
      </c>
      <c r="F130" s="935">
        <v>0</v>
      </c>
      <c r="G130" s="935">
        <v>0</v>
      </c>
      <c r="H130" s="935">
        <v>0</v>
      </c>
      <c r="I130" s="935">
        <v>0</v>
      </c>
      <c r="J130" s="935">
        <v>0</v>
      </c>
      <c r="K130" s="935">
        <v>0</v>
      </c>
      <c r="L130" s="935">
        <v>0</v>
      </c>
      <c r="M130" s="935">
        <v>0</v>
      </c>
      <c r="N130" s="935">
        <v>0</v>
      </c>
      <c r="O130" s="935">
        <v>0</v>
      </c>
      <c r="P130" s="935">
        <v>0</v>
      </c>
      <c r="Q130" s="935">
        <v>0</v>
      </c>
      <c r="R130" s="935">
        <v>0</v>
      </c>
      <c r="S130" s="935">
        <v>0</v>
      </c>
      <c r="T130" s="935">
        <v>0</v>
      </c>
      <c r="U130" s="935">
        <f t="shared" si="20"/>
        <v>300000</v>
      </c>
    </row>
    <row r="131" spans="1:21" x14ac:dyDescent="0.2">
      <c r="A131" s="2">
        <v>8000</v>
      </c>
      <c r="B131" s="3" t="s">
        <v>177</v>
      </c>
      <c r="C131" s="935">
        <v>9283523</v>
      </c>
      <c r="D131" s="935">
        <v>228090</v>
      </c>
      <c r="E131" s="935">
        <v>31895</v>
      </c>
      <c r="F131" s="935">
        <v>0</v>
      </c>
      <c r="G131" s="935">
        <v>2524</v>
      </c>
      <c r="H131" s="935">
        <v>0</v>
      </c>
      <c r="I131" s="935">
        <v>0</v>
      </c>
      <c r="J131" s="935">
        <v>93957.5</v>
      </c>
      <c r="K131" s="935">
        <v>10000</v>
      </c>
      <c r="L131" s="935">
        <v>0</v>
      </c>
      <c r="M131" s="935">
        <v>174628</v>
      </c>
      <c r="N131" s="935">
        <v>1210008</v>
      </c>
      <c r="O131" s="935">
        <v>1341936</v>
      </c>
      <c r="P131" s="935">
        <v>3832610</v>
      </c>
      <c r="Q131" s="935">
        <v>10000</v>
      </c>
      <c r="R131" s="935">
        <v>0</v>
      </c>
      <c r="S131" s="935">
        <v>1258578</v>
      </c>
      <c r="T131" s="935">
        <v>0</v>
      </c>
      <c r="U131" s="935">
        <f t="shared" si="20"/>
        <v>17477749.5</v>
      </c>
    </row>
    <row r="132" spans="1:21" x14ac:dyDescent="0.2">
      <c r="C132" s="935"/>
      <c r="D132" s="935"/>
      <c r="E132" s="935"/>
      <c r="F132" s="935"/>
      <c r="G132" s="935"/>
      <c r="H132" s="935"/>
      <c r="I132" s="935"/>
      <c r="J132" s="935"/>
      <c r="K132" s="935"/>
      <c r="L132" s="935"/>
      <c r="M132" s="935"/>
      <c r="N132" s="935"/>
      <c r="O132" s="935"/>
      <c r="P132" s="935"/>
      <c r="Q132" s="935"/>
      <c r="R132" s="935"/>
      <c r="S132" s="935"/>
      <c r="T132" s="935"/>
      <c r="U132" s="935"/>
    </row>
    <row r="133" spans="1:21" s="2" customFormat="1" x14ac:dyDescent="0.2">
      <c r="A133" s="53"/>
      <c r="B133" s="2" t="s">
        <v>308</v>
      </c>
      <c r="C133" s="931"/>
      <c r="D133" s="931"/>
      <c r="E133" s="931"/>
      <c r="F133" s="931"/>
      <c r="G133" s="931"/>
      <c r="H133" s="931"/>
      <c r="I133" s="931"/>
      <c r="J133" s="931"/>
      <c r="K133" s="931"/>
      <c r="L133" s="931"/>
      <c r="M133" s="931"/>
      <c r="N133" s="931"/>
      <c r="O133" s="931"/>
      <c r="P133" s="931"/>
      <c r="Q133" s="931"/>
      <c r="R133" s="931"/>
      <c r="S133" s="931"/>
      <c r="T133" s="931"/>
      <c r="U133" s="935"/>
    </row>
    <row r="134" spans="1:21" hidden="1" x14ac:dyDescent="0.2">
      <c r="B134" s="3" t="s">
        <v>179</v>
      </c>
      <c r="C134" s="935">
        <v>0</v>
      </c>
      <c r="D134" s="935">
        <v>0</v>
      </c>
      <c r="E134" s="935">
        <v>0</v>
      </c>
      <c r="F134" s="935">
        <v>0</v>
      </c>
      <c r="G134" s="935">
        <v>0</v>
      </c>
      <c r="H134" s="935">
        <v>0</v>
      </c>
      <c r="I134" s="935">
        <v>0</v>
      </c>
      <c r="J134" s="935">
        <v>0</v>
      </c>
      <c r="K134" s="935">
        <v>0</v>
      </c>
      <c r="L134" s="935">
        <v>0</v>
      </c>
      <c r="M134" s="935">
        <v>0</v>
      </c>
      <c r="N134" s="935">
        <v>0</v>
      </c>
      <c r="O134" s="935">
        <v>0</v>
      </c>
      <c r="P134" s="935">
        <v>0</v>
      </c>
      <c r="Q134" s="935">
        <v>0</v>
      </c>
      <c r="R134" s="935">
        <v>0</v>
      </c>
      <c r="S134" s="935">
        <v>0</v>
      </c>
      <c r="T134" s="935">
        <v>0</v>
      </c>
      <c r="U134" s="935">
        <f t="shared" si="20"/>
        <v>0</v>
      </c>
    </row>
    <row r="135" spans="1:21" hidden="1" x14ac:dyDescent="0.2">
      <c r="B135" s="3" t="s">
        <v>145</v>
      </c>
      <c r="C135" s="935">
        <v>0</v>
      </c>
      <c r="D135" s="935">
        <v>0</v>
      </c>
      <c r="E135" s="935">
        <v>0</v>
      </c>
      <c r="F135" s="935">
        <v>0</v>
      </c>
      <c r="G135" s="935">
        <v>0</v>
      </c>
      <c r="H135" s="935">
        <v>0</v>
      </c>
      <c r="I135" s="935">
        <v>0</v>
      </c>
      <c r="J135" s="935">
        <v>0</v>
      </c>
      <c r="K135" s="935">
        <v>0</v>
      </c>
      <c r="L135" s="935">
        <v>0</v>
      </c>
      <c r="M135" s="935">
        <v>0</v>
      </c>
      <c r="N135" s="935">
        <v>0</v>
      </c>
      <c r="O135" s="935">
        <v>0</v>
      </c>
      <c r="P135" s="935">
        <v>0</v>
      </c>
      <c r="Q135" s="935">
        <v>0</v>
      </c>
      <c r="R135" s="935">
        <v>0</v>
      </c>
      <c r="S135" s="935">
        <v>0</v>
      </c>
      <c r="T135" s="935">
        <v>0</v>
      </c>
      <c r="U135" s="935">
        <f t="shared" si="20"/>
        <v>0</v>
      </c>
    </row>
    <row r="136" spans="1:21" hidden="1" x14ac:dyDescent="0.2">
      <c r="B136" s="3" t="s">
        <v>180</v>
      </c>
      <c r="C136" s="935">
        <v>0</v>
      </c>
      <c r="D136" s="935">
        <v>0</v>
      </c>
      <c r="E136" s="935">
        <v>0</v>
      </c>
      <c r="F136" s="935">
        <v>0</v>
      </c>
      <c r="G136" s="935">
        <v>0</v>
      </c>
      <c r="H136" s="935">
        <v>0</v>
      </c>
      <c r="I136" s="935">
        <v>0</v>
      </c>
      <c r="J136" s="935">
        <v>0</v>
      </c>
      <c r="K136" s="935">
        <v>0</v>
      </c>
      <c r="L136" s="935">
        <v>0</v>
      </c>
      <c r="M136" s="935">
        <v>0</v>
      </c>
      <c r="N136" s="935">
        <v>0</v>
      </c>
      <c r="O136" s="935">
        <v>0</v>
      </c>
      <c r="P136" s="935">
        <v>0</v>
      </c>
      <c r="Q136" s="935">
        <v>0</v>
      </c>
      <c r="R136" s="935">
        <v>0</v>
      </c>
      <c r="S136" s="935">
        <v>0</v>
      </c>
      <c r="T136" s="935">
        <v>0</v>
      </c>
      <c r="U136" s="935">
        <f t="shared" si="20"/>
        <v>0</v>
      </c>
    </row>
    <row r="137" spans="1:21" hidden="1" x14ac:dyDescent="0.2">
      <c r="B137" s="3" t="s">
        <v>181</v>
      </c>
      <c r="C137" s="935">
        <v>0</v>
      </c>
      <c r="D137" s="935">
        <v>0</v>
      </c>
      <c r="E137" s="935">
        <v>0</v>
      </c>
      <c r="F137" s="935">
        <v>0</v>
      </c>
      <c r="G137" s="935">
        <v>0</v>
      </c>
      <c r="H137" s="935">
        <v>0</v>
      </c>
      <c r="I137" s="935">
        <v>0</v>
      </c>
      <c r="J137" s="935">
        <v>0</v>
      </c>
      <c r="K137" s="935">
        <v>0</v>
      </c>
      <c r="L137" s="935">
        <v>0</v>
      </c>
      <c r="M137" s="935">
        <v>0</v>
      </c>
      <c r="N137" s="935">
        <v>0</v>
      </c>
      <c r="O137" s="935">
        <v>0</v>
      </c>
      <c r="P137" s="935">
        <v>0</v>
      </c>
      <c r="Q137" s="935">
        <v>0</v>
      </c>
      <c r="R137" s="935">
        <v>0</v>
      </c>
      <c r="S137" s="935">
        <v>0</v>
      </c>
      <c r="T137" s="935">
        <v>0</v>
      </c>
      <c r="U137" s="935">
        <f t="shared" si="20"/>
        <v>0</v>
      </c>
    </row>
    <row r="138" spans="1:21" hidden="1" x14ac:dyDescent="0.2">
      <c r="B138" s="3" t="s">
        <v>182</v>
      </c>
      <c r="C138" s="935">
        <v>0</v>
      </c>
      <c r="D138" s="935">
        <v>0</v>
      </c>
      <c r="E138" s="935">
        <v>0</v>
      </c>
      <c r="F138" s="935">
        <v>0</v>
      </c>
      <c r="G138" s="935">
        <v>0</v>
      </c>
      <c r="H138" s="935">
        <v>0</v>
      </c>
      <c r="I138" s="935">
        <v>0</v>
      </c>
      <c r="J138" s="935">
        <v>0</v>
      </c>
      <c r="K138" s="935">
        <v>0</v>
      </c>
      <c r="L138" s="935">
        <v>0</v>
      </c>
      <c r="M138" s="935">
        <v>0</v>
      </c>
      <c r="N138" s="935">
        <v>0</v>
      </c>
      <c r="O138" s="935">
        <v>0</v>
      </c>
      <c r="P138" s="935">
        <v>0</v>
      </c>
      <c r="Q138" s="935">
        <v>0</v>
      </c>
      <c r="R138" s="935">
        <v>0</v>
      </c>
      <c r="S138" s="935">
        <v>0</v>
      </c>
      <c r="T138" s="935">
        <v>0</v>
      </c>
      <c r="U138" s="935">
        <f t="shared" si="20"/>
        <v>0</v>
      </c>
    </row>
    <row r="139" spans="1:21" hidden="1" x14ac:dyDescent="0.2">
      <c r="B139" s="3" t="s">
        <v>183</v>
      </c>
      <c r="C139" s="935">
        <v>0</v>
      </c>
      <c r="D139" s="935">
        <v>0</v>
      </c>
      <c r="E139" s="935">
        <v>0</v>
      </c>
      <c r="F139" s="935">
        <v>0</v>
      </c>
      <c r="G139" s="935">
        <v>0</v>
      </c>
      <c r="H139" s="935">
        <v>0</v>
      </c>
      <c r="I139" s="935">
        <v>0</v>
      </c>
      <c r="J139" s="935">
        <v>0</v>
      </c>
      <c r="K139" s="935">
        <v>0</v>
      </c>
      <c r="L139" s="935">
        <v>0</v>
      </c>
      <c r="M139" s="935">
        <v>0</v>
      </c>
      <c r="N139" s="935">
        <v>0</v>
      </c>
      <c r="O139" s="935">
        <v>0</v>
      </c>
      <c r="P139" s="935">
        <v>0</v>
      </c>
      <c r="Q139" s="935">
        <v>0</v>
      </c>
      <c r="R139" s="935">
        <v>0</v>
      </c>
      <c r="S139" s="935">
        <v>0</v>
      </c>
      <c r="T139" s="935">
        <v>0</v>
      </c>
      <c r="U139" s="935">
        <f t="shared" si="20"/>
        <v>0</v>
      </c>
    </row>
    <row r="140" spans="1:21" hidden="1" x14ac:dyDescent="0.2">
      <c r="B140" s="3" t="s">
        <v>184</v>
      </c>
      <c r="C140" s="935">
        <v>0</v>
      </c>
      <c r="D140" s="935">
        <v>0</v>
      </c>
      <c r="E140" s="935">
        <v>0</v>
      </c>
      <c r="F140" s="935">
        <v>0</v>
      </c>
      <c r="G140" s="935">
        <v>0</v>
      </c>
      <c r="H140" s="935">
        <v>0</v>
      </c>
      <c r="I140" s="935">
        <v>0</v>
      </c>
      <c r="J140" s="935">
        <v>0</v>
      </c>
      <c r="K140" s="935">
        <v>0</v>
      </c>
      <c r="L140" s="935">
        <v>0</v>
      </c>
      <c r="M140" s="935">
        <v>0</v>
      </c>
      <c r="N140" s="935">
        <v>0</v>
      </c>
      <c r="O140" s="935">
        <v>0</v>
      </c>
      <c r="P140" s="935">
        <v>0</v>
      </c>
      <c r="Q140" s="935">
        <v>0</v>
      </c>
      <c r="R140" s="935">
        <v>0</v>
      </c>
      <c r="S140" s="935">
        <v>0</v>
      </c>
      <c r="T140" s="935">
        <v>0</v>
      </c>
      <c r="U140" s="935">
        <f t="shared" si="20"/>
        <v>0</v>
      </c>
    </row>
    <row r="141" spans="1:21" x14ac:dyDescent="0.2">
      <c r="B141" s="3" t="s">
        <v>185</v>
      </c>
      <c r="C141" s="935">
        <v>0</v>
      </c>
      <c r="D141" s="935">
        <v>0</v>
      </c>
      <c r="E141" s="935">
        <v>0</v>
      </c>
      <c r="F141" s="935">
        <v>0</v>
      </c>
      <c r="G141" s="935">
        <v>0</v>
      </c>
      <c r="H141" s="935">
        <v>0</v>
      </c>
      <c r="I141" s="935">
        <v>0</v>
      </c>
      <c r="J141" s="935">
        <v>0</v>
      </c>
      <c r="K141" s="935">
        <v>0</v>
      </c>
      <c r="L141" s="935">
        <v>0</v>
      </c>
      <c r="M141" s="935">
        <v>0</v>
      </c>
      <c r="N141" s="935">
        <v>0</v>
      </c>
      <c r="O141" s="935">
        <v>0</v>
      </c>
      <c r="P141" s="935">
        <v>0</v>
      </c>
      <c r="Q141" s="935">
        <v>0</v>
      </c>
      <c r="R141" s="935">
        <v>0</v>
      </c>
      <c r="S141" s="935">
        <v>0</v>
      </c>
      <c r="T141" s="935">
        <v>-312700</v>
      </c>
      <c r="U141" s="935">
        <f t="shared" si="20"/>
        <v>-312700</v>
      </c>
    </row>
    <row r="142" spans="1:21" hidden="1" x14ac:dyDescent="0.2">
      <c r="B142" s="3" t="s">
        <v>186</v>
      </c>
      <c r="C142" s="935">
        <v>0</v>
      </c>
      <c r="D142" s="935">
        <v>0</v>
      </c>
      <c r="E142" s="935">
        <v>0</v>
      </c>
      <c r="F142" s="935">
        <v>0</v>
      </c>
      <c r="G142" s="935">
        <v>0</v>
      </c>
      <c r="H142" s="935">
        <v>0</v>
      </c>
      <c r="I142" s="935">
        <v>0</v>
      </c>
      <c r="J142" s="935">
        <v>0</v>
      </c>
      <c r="K142" s="935">
        <v>0</v>
      </c>
      <c r="L142" s="935">
        <v>0</v>
      </c>
      <c r="M142" s="935">
        <v>0</v>
      </c>
      <c r="N142" s="935">
        <v>0</v>
      </c>
      <c r="O142" s="935">
        <v>0</v>
      </c>
      <c r="P142" s="935">
        <v>0</v>
      </c>
      <c r="Q142" s="935">
        <v>0</v>
      </c>
      <c r="R142" s="935">
        <v>0</v>
      </c>
      <c r="S142" s="935">
        <v>0</v>
      </c>
      <c r="T142" s="935">
        <v>0</v>
      </c>
      <c r="U142" s="935">
        <f t="shared" si="20"/>
        <v>0</v>
      </c>
    </row>
    <row r="143" spans="1:21" hidden="1" x14ac:dyDescent="0.2">
      <c r="B143" s="3" t="s">
        <v>187</v>
      </c>
      <c r="C143" s="935">
        <v>0</v>
      </c>
      <c r="D143" s="935">
        <v>0</v>
      </c>
      <c r="E143" s="935">
        <v>0</v>
      </c>
      <c r="F143" s="935">
        <v>0</v>
      </c>
      <c r="G143" s="935">
        <v>0</v>
      </c>
      <c r="H143" s="935">
        <v>0</v>
      </c>
      <c r="I143" s="935">
        <v>0</v>
      </c>
      <c r="J143" s="935">
        <v>0</v>
      </c>
      <c r="K143" s="935">
        <v>0</v>
      </c>
      <c r="L143" s="935">
        <v>0</v>
      </c>
      <c r="M143" s="935">
        <v>0</v>
      </c>
      <c r="N143" s="935">
        <v>0</v>
      </c>
      <c r="O143" s="935">
        <v>0</v>
      </c>
      <c r="P143" s="935">
        <v>0</v>
      </c>
      <c r="Q143" s="935">
        <v>0</v>
      </c>
      <c r="R143" s="935">
        <v>0</v>
      </c>
      <c r="S143" s="935">
        <v>0</v>
      </c>
      <c r="T143" s="935">
        <v>0</v>
      </c>
      <c r="U143" s="935">
        <f t="shared" si="20"/>
        <v>0</v>
      </c>
    </row>
    <row r="144" spans="1:21" x14ac:dyDescent="0.2">
      <c r="B144" s="3" t="s">
        <v>188</v>
      </c>
      <c r="C144" s="935">
        <v>0</v>
      </c>
      <c r="D144" s="935">
        <v>0</v>
      </c>
      <c r="E144" s="935">
        <v>0</v>
      </c>
      <c r="F144" s="935">
        <v>0</v>
      </c>
      <c r="G144" s="935">
        <v>0</v>
      </c>
      <c r="H144" s="935">
        <v>0</v>
      </c>
      <c r="I144" s="935">
        <v>0</v>
      </c>
      <c r="J144" s="935">
        <v>0</v>
      </c>
      <c r="K144" s="935">
        <v>0</v>
      </c>
      <c r="L144" s="935">
        <v>0</v>
      </c>
      <c r="M144" s="935">
        <v>0</v>
      </c>
      <c r="N144" s="935">
        <v>0</v>
      </c>
      <c r="O144" s="935">
        <v>0</v>
      </c>
      <c r="P144" s="935">
        <v>0</v>
      </c>
      <c r="Q144" s="935">
        <v>0</v>
      </c>
      <c r="R144" s="935">
        <v>0</v>
      </c>
      <c r="S144" s="935">
        <v>0</v>
      </c>
      <c r="T144" s="935">
        <v>-974400</v>
      </c>
      <c r="U144" s="935">
        <f t="shared" si="20"/>
        <v>-974400</v>
      </c>
    </row>
    <row r="145" spans="2:21" hidden="1" x14ac:dyDescent="0.2">
      <c r="B145" s="3" t="s">
        <v>189</v>
      </c>
      <c r="C145" s="935">
        <v>0</v>
      </c>
      <c r="D145" s="935">
        <v>0</v>
      </c>
      <c r="E145" s="935">
        <v>0</v>
      </c>
      <c r="F145" s="935">
        <v>0</v>
      </c>
      <c r="G145" s="935">
        <v>0</v>
      </c>
      <c r="H145" s="935">
        <v>0</v>
      </c>
      <c r="I145" s="935">
        <v>0</v>
      </c>
      <c r="J145" s="935">
        <v>0</v>
      </c>
      <c r="K145" s="935">
        <v>0</v>
      </c>
      <c r="L145" s="935">
        <v>0</v>
      </c>
      <c r="M145" s="935">
        <v>0</v>
      </c>
      <c r="N145" s="935">
        <v>0</v>
      </c>
      <c r="O145" s="935">
        <v>0</v>
      </c>
      <c r="P145" s="935">
        <v>0</v>
      </c>
      <c r="Q145" s="935">
        <v>0</v>
      </c>
      <c r="R145" s="935">
        <v>0</v>
      </c>
      <c r="S145" s="935">
        <v>0</v>
      </c>
      <c r="T145" s="935">
        <v>0</v>
      </c>
      <c r="U145" s="935">
        <f t="shared" si="20"/>
        <v>0</v>
      </c>
    </row>
    <row r="146" spans="2:21" hidden="1" x14ac:dyDescent="0.2">
      <c r="B146" s="3" t="s">
        <v>190</v>
      </c>
      <c r="C146" s="935">
        <v>0</v>
      </c>
      <c r="D146" s="935">
        <v>0</v>
      </c>
      <c r="E146" s="935">
        <v>0</v>
      </c>
      <c r="F146" s="935">
        <v>0</v>
      </c>
      <c r="G146" s="935">
        <v>0</v>
      </c>
      <c r="H146" s="935">
        <v>0</v>
      </c>
      <c r="I146" s="935">
        <v>0</v>
      </c>
      <c r="J146" s="935">
        <v>0</v>
      </c>
      <c r="K146" s="935">
        <v>0</v>
      </c>
      <c r="L146" s="935">
        <v>0</v>
      </c>
      <c r="M146" s="935">
        <v>0</v>
      </c>
      <c r="N146" s="935">
        <v>0</v>
      </c>
      <c r="O146" s="935">
        <v>0</v>
      </c>
      <c r="P146" s="935">
        <v>0</v>
      </c>
      <c r="Q146" s="935">
        <v>0</v>
      </c>
      <c r="R146" s="935">
        <v>0</v>
      </c>
      <c r="S146" s="935">
        <v>0</v>
      </c>
      <c r="T146" s="935">
        <v>0</v>
      </c>
      <c r="U146" s="935">
        <f t="shared" si="20"/>
        <v>0</v>
      </c>
    </row>
    <row r="147" spans="2:21" hidden="1" x14ac:dyDescent="0.2">
      <c r="B147" s="3" t="s">
        <v>191</v>
      </c>
      <c r="C147" s="935">
        <v>0</v>
      </c>
      <c r="D147" s="935">
        <v>0</v>
      </c>
      <c r="E147" s="935">
        <v>0</v>
      </c>
      <c r="F147" s="935">
        <v>0</v>
      </c>
      <c r="G147" s="935">
        <v>0</v>
      </c>
      <c r="H147" s="935">
        <v>0</v>
      </c>
      <c r="I147" s="935">
        <v>0</v>
      </c>
      <c r="J147" s="935">
        <v>0</v>
      </c>
      <c r="K147" s="935">
        <v>0</v>
      </c>
      <c r="L147" s="935">
        <v>0</v>
      </c>
      <c r="M147" s="935">
        <v>0</v>
      </c>
      <c r="N147" s="935">
        <v>0</v>
      </c>
      <c r="O147" s="935">
        <v>0</v>
      </c>
      <c r="P147" s="935">
        <v>0</v>
      </c>
      <c r="Q147" s="935">
        <v>0</v>
      </c>
      <c r="R147" s="935">
        <v>0</v>
      </c>
      <c r="S147" s="935">
        <v>0</v>
      </c>
      <c r="T147" s="935">
        <v>0</v>
      </c>
      <c r="U147" s="935">
        <f t="shared" si="20"/>
        <v>0</v>
      </c>
    </row>
    <row r="148" spans="2:21" hidden="1" x14ac:dyDescent="0.2">
      <c r="B148" s="3" t="s">
        <v>192</v>
      </c>
      <c r="C148" s="935">
        <v>0</v>
      </c>
      <c r="D148" s="935">
        <v>0</v>
      </c>
      <c r="E148" s="935">
        <v>0</v>
      </c>
      <c r="F148" s="935">
        <v>0</v>
      </c>
      <c r="G148" s="935">
        <v>0</v>
      </c>
      <c r="H148" s="935">
        <v>0</v>
      </c>
      <c r="I148" s="935">
        <v>0</v>
      </c>
      <c r="J148" s="935">
        <v>0</v>
      </c>
      <c r="K148" s="935">
        <v>0</v>
      </c>
      <c r="L148" s="935">
        <v>0</v>
      </c>
      <c r="M148" s="935">
        <v>0</v>
      </c>
      <c r="N148" s="935">
        <v>0</v>
      </c>
      <c r="O148" s="935">
        <v>0</v>
      </c>
      <c r="P148" s="935">
        <v>0</v>
      </c>
      <c r="Q148" s="935">
        <v>0</v>
      </c>
      <c r="R148" s="935">
        <v>0</v>
      </c>
      <c r="S148" s="935">
        <v>0</v>
      </c>
      <c r="T148" s="935">
        <v>0</v>
      </c>
      <c r="U148" s="935">
        <f t="shared" si="20"/>
        <v>0</v>
      </c>
    </row>
    <row r="149" spans="2:21" hidden="1" x14ac:dyDescent="0.2">
      <c r="B149" s="3" t="s">
        <v>193</v>
      </c>
      <c r="C149" s="935">
        <v>0</v>
      </c>
      <c r="D149" s="935">
        <v>0</v>
      </c>
      <c r="E149" s="935">
        <v>0</v>
      </c>
      <c r="F149" s="935">
        <v>0</v>
      </c>
      <c r="G149" s="935">
        <v>0</v>
      </c>
      <c r="H149" s="935">
        <v>0</v>
      </c>
      <c r="I149" s="935">
        <v>0</v>
      </c>
      <c r="J149" s="935">
        <v>0</v>
      </c>
      <c r="K149" s="935">
        <v>0</v>
      </c>
      <c r="L149" s="935">
        <v>0</v>
      </c>
      <c r="M149" s="935">
        <v>0</v>
      </c>
      <c r="N149" s="935">
        <v>0</v>
      </c>
      <c r="O149" s="935">
        <v>0</v>
      </c>
      <c r="P149" s="935">
        <v>0</v>
      </c>
      <c r="Q149" s="935">
        <v>0</v>
      </c>
      <c r="R149" s="935">
        <v>0</v>
      </c>
      <c r="S149" s="935">
        <v>0</v>
      </c>
      <c r="T149" s="935">
        <v>0</v>
      </c>
      <c r="U149" s="935">
        <f t="shared" si="20"/>
        <v>0</v>
      </c>
    </row>
    <row r="150" spans="2:21" hidden="1" x14ac:dyDescent="0.2">
      <c r="B150" s="3" t="s">
        <v>194</v>
      </c>
      <c r="C150" s="935">
        <v>0</v>
      </c>
      <c r="D150" s="935">
        <v>0</v>
      </c>
      <c r="E150" s="935">
        <v>0</v>
      </c>
      <c r="F150" s="935">
        <v>0</v>
      </c>
      <c r="G150" s="935">
        <v>0</v>
      </c>
      <c r="H150" s="935">
        <v>0</v>
      </c>
      <c r="I150" s="935">
        <v>0</v>
      </c>
      <c r="J150" s="935">
        <v>0</v>
      </c>
      <c r="K150" s="935">
        <v>0</v>
      </c>
      <c r="L150" s="935">
        <v>0</v>
      </c>
      <c r="M150" s="935">
        <v>0</v>
      </c>
      <c r="N150" s="935">
        <v>0</v>
      </c>
      <c r="O150" s="935">
        <v>0</v>
      </c>
      <c r="P150" s="935">
        <v>0</v>
      </c>
      <c r="Q150" s="935">
        <v>0</v>
      </c>
      <c r="R150" s="935">
        <v>0</v>
      </c>
      <c r="S150" s="935">
        <v>0</v>
      </c>
      <c r="T150" s="935">
        <v>0</v>
      </c>
      <c r="U150" s="935">
        <f t="shared" ref="U150:U213" si="21">SUM(C150:T150)</f>
        <v>0</v>
      </c>
    </row>
    <row r="151" spans="2:21" hidden="1" x14ac:dyDescent="0.2">
      <c r="B151" s="3" t="s">
        <v>195</v>
      </c>
      <c r="C151" s="935">
        <v>0</v>
      </c>
      <c r="D151" s="935">
        <v>0</v>
      </c>
      <c r="E151" s="935">
        <v>0</v>
      </c>
      <c r="F151" s="935">
        <v>0</v>
      </c>
      <c r="G151" s="935">
        <v>0</v>
      </c>
      <c r="H151" s="935">
        <v>0</v>
      </c>
      <c r="I151" s="935">
        <v>0</v>
      </c>
      <c r="J151" s="935">
        <v>0</v>
      </c>
      <c r="K151" s="935">
        <v>0</v>
      </c>
      <c r="L151" s="935">
        <v>0</v>
      </c>
      <c r="M151" s="935">
        <v>0</v>
      </c>
      <c r="N151" s="935">
        <v>0</v>
      </c>
      <c r="O151" s="935">
        <v>0</v>
      </c>
      <c r="P151" s="935">
        <v>0</v>
      </c>
      <c r="Q151" s="935">
        <v>0</v>
      </c>
      <c r="R151" s="935">
        <v>0</v>
      </c>
      <c r="S151" s="935">
        <v>0</v>
      </c>
      <c r="T151" s="935">
        <v>0</v>
      </c>
      <c r="U151" s="935">
        <f t="shared" si="21"/>
        <v>0</v>
      </c>
    </row>
    <row r="152" spans="2:21" hidden="1" x14ac:dyDescent="0.2">
      <c r="B152" s="3" t="s">
        <v>196</v>
      </c>
      <c r="C152" s="935">
        <v>0</v>
      </c>
      <c r="D152" s="935">
        <v>0</v>
      </c>
      <c r="E152" s="935">
        <v>0</v>
      </c>
      <c r="F152" s="935">
        <v>0</v>
      </c>
      <c r="G152" s="935">
        <v>0</v>
      </c>
      <c r="H152" s="935">
        <v>0</v>
      </c>
      <c r="I152" s="935">
        <v>0</v>
      </c>
      <c r="J152" s="935">
        <v>0</v>
      </c>
      <c r="K152" s="935">
        <v>0</v>
      </c>
      <c r="L152" s="935">
        <v>0</v>
      </c>
      <c r="M152" s="935">
        <v>0</v>
      </c>
      <c r="N152" s="935">
        <v>0</v>
      </c>
      <c r="O152" s="935">
        <v>0</v>
      </c>
      <c r="P152" s="935">
        <v>0</v>
      </c>
      <c r="Q152" s="935">
        <v>0</v>
      </c>
      <c r="R152" s="935">
        <v>0</v>
      </c>
      <c r="S152" s="935">
        <v>0</v>
      </c>
      <c r="T152" s="935">
        <v>0</v>
      </c>
      <c r="U152" s="935">
        <f t="shared" si="21"/>
        <v>0</v>
      </c>
    </row>
    <row r="153" spans="2:21" hidden="1" x14ac:dyDescent="0.2">
      <c r="B153" s="3" t="s">
        <v>197</v>
      </c>
      <c r="C153" s="935">
        <v>0</v>
      </c>
      <c r="D153" s="935">
        <v>0</v>
      </c>
      <c r="E153" s="935">
        <v>0</v>
      </c>
      <c r="F153" s="935">
        <v>0</v>
      </c>
      <c r="G153" s="935">
        <v>0</v>
      </c>
      <c r="H153" s="935">
        <v>0</v>
      </c>
      <c r="I153" s="935">
        <v>0</v>
      </c>
      <c r="J153" s="935">
        <v>0</v>
      </c>
      <c r="K153" s="935">
        <v>0</v>
      </c>
      <c r="L153" s="935">
        <v>0</v>
      </c>
      <c r="M153" s="935">
        <v>0</v>
      </c>
      <c r="N153" s="935">
        <v>0</v>
      </c>
      <c r="O153" s="935">
        <v>0</v>
      </c>
      <c r="P153" s="935">
        <v>0</v>
      </c>
      <c r="Q153" s="935">
        <v>0</v>
      </c>
      <c r="R153" s="935">
        <v>0</v>
      </c>
      <c r="S153" s="935">
        <v>0</v>
      </c>
      <c r="T153" s="935">
        <v>0</v>
      </c>
      <c r="U153" s="935">
        <f t="shared" si="21"/>
        <v>0</v>
      </c>
    </row>
    <row r="154" spans="2:21" hidden="1" x14ac:dyDescent="0.2">
      <c r="B154" s="3" t="s">
        <v>198</v>
      </c>
      <c r="C154" s="935">
        <v>0</v>
      </c>
      <c r="D154" s="935">
        <v>0</v>
      </c>
      <c r="E154" s="935">
        <v>0</v>
      </c>
      <c r="F154" s="935">
        <v>0</v>
      </c>
      <c r="G154" s="935">
        <v>0</v>
      </c>
      <c r="H154" s="935">
        <v>0</v>
      </c>
      <c r="I154" s="935">
        <v>0</v>
      </c>
      <c r="J154" s="935">
        <v>0</v>
      </c>
      <c r="K154" s="935">
        <v>0</v>
      </c>
      <c r="L154" s="935">
        <v>0</v>
      </c>
      <c r="M154" s="935">
        <v>0</v>
      </c>
      <c r="N154" s="935">
        <v>0</v>
      </c>
      <c r="O154" s="935">
        <v>0</v>
      </c>
      <c r="P154" s="935">
        <v>0</v>
      </c>
      <c r="Q154" s="935">
        <v>0</v>
      </c>
      <c r="R154" s="935">
        <v>0</v>
      </c>
      <c r="S154" s="935">
        <v>0</v>
      </c>
      <c r="T154" s="935">
        <v>0</v>
      </c>
      <c r="U154" s="935">
        <f t="shared" si="21"/>
        <v>0</v>
      </c>
    </row>
    <row r="155" spans="2:21" hidden="1" x14ac:dyDescent="0.2">
      <c r="B155" s="3" t="s">
        <v>199</v>
      </c>
      <c r="C155" s="935">
        <v>0</v>
      </c>
      <c r="D155" s="935">
        <v>0</v>
      </c>
      <c r="E155" s="935">
        <v>0</v>
      </c>
      <c r="F155" s="935">
        <v>0</v>
      </c>
      <c r="G155" s="935">
        <v>0</v>
      </c>
      <c r="H155" s="935">
        <v>0</v>
      </c>
      <c r="I155" s="935">
        <v>0</v>
      </c>
      <c r="J155" s="935">
        <v>0</v>
      </c>
      <c r="K155" s="935">
        <v>0</v>
      </c>
      <c r="L155" s="935">
        <v>0</v>
      </c>
      <c r="M155" s="935">
        <v>0</v>
      </c>
      <c r="N155" s="935">
        <v>0</v>
      </c>
      <c r="O155" s="935">
        <v>0</v>
      </c>
      <c r="P155" s="935">
        <v>0</v>
      </c>
      <c r="Q155" s="935">
        <v>0</v>
      </c>
      <c r="R155" s="935">
        <v>0</v>
      </c>
      <c r="S155" s="935">
        <v>0</v>
      </c>
      <c r="T155" s="935">
        <v>0</v>
      </c>
      <c r="U155" s="935">
        <f t="shared" si="21"/>
        <v>0</v>
      </c>
    </row>
    <row r="156" spans="2:21" hidden="1" x14ac:dyDescent="0.2">
      <c r="B156" s="3" t="s">
        <v>200</v>
      </c>
      <c r="C156" s="935">
        <v>0</v>
      </c>
      <c r="D156" s="935">
        <v>0</v>
      </c>
      <c r="E156" s="935">
        <v>0</v>
      </c>
      <c r="F156" s="935">
        <v>0</v>
      </c>
      <c r="G156" s="935">
        <v>0</v>
      </c>
      <c r="H156" s="935">
        <v>0</v>
      </c>
      <c r="I156" s="935">
        <v>0</v>
      </c>
      <c r="J156" s="935">
        <v>0</v>
      </c>
      <c r="K156" s="935">
        <v>0</v>
      </c>
      <c r="L156" s="935">
        <v>0</v>
      </c>
      <c r="M156" s="935">
        <v>0</v>
      </c>
      <c r="N156" s="935">
        <v>0</v>
      </c>
      <c r="O156" s="935">
        <v>0</v>
      </c>
      <c r="P156" s="935">
        <v>0</v>
      </c>
      <c r="Q156" s="935">
        <v>0</v>
      </c>
      <c r="R156" s="935">
        <v>0</v>
      </c>
      <c r="S156" s="935">
        <v>0</v>
      </c>
      <c r="T156" s="935">
        <v>0</v>
      </c>
      <c r="U156" s="935">
        <f t="shared" si="21"/>
        <v>0</v>
      </c>
    </row>
    <row r="157" spans="2:21" hidden="1" x14ac:dyDescent="0.2">
      <c r="B157" s="3" t="s">
        <v>201</v>
      </c>
      <c r="C157" s="935">
        <v>0</v>
      </c>
      <c r="D157" s="935">
        <v>0</v>
      </c>
      <c r="E157" s="935">
        <v>0</v>
      </c>
      <c r="F157" s="935">
        <v>0</v>
      </c>
      <c r="G157" s="935">
        <v>0</v>
      </c>
      <c r="H157" s="935">
        <v>0</v>
      </c>
      <c r="I157" s="935">
        <v>0</v>
      </c>
      <c r="J157" s="935">
        <v>0</v>
      </c>
      <c r="K157" s="935">
        <v>0</v>
      </c>
      <c r="L157" s="935">
        <v>0</v>
      </c>
      <c r="M157" s="935">
        <v>0</v>
      </c>
      <c r="N157" s="935">
        <v>0</v>
      </c>
      <c r="O157" s="935">
        <v>0</v>
      </c>
      <c r="P157" s="935">
        <v>0</v>
      </c>
      <c r="Q157" s="935">
        <v>0</v>
      </c>
      <c r="R157" s="935">
        <v>0</v>
      </c>
      <c r="S157" s="935">
        <v>0</v>
      </c>
      <c r="T157" s="935">
        <v>0</v>
      </c>
      <c r="U157" s="935">
        <f t="shared" si="21"/>
        <v>0</v>
      </c>
    </row>
    <row r="158" spans="2:21" hidden="1" x14ac:dyDescent="0.2">
      <c r="B158" s="3" t="s">
        <v>202</v>
      </c>
      <c r="C158" s="935">
        <v>0</v>
      </c>
      <c r="D158" s="935">
        <v>0</v>
      </c>
      <c r="E158" s="935">
        <v>0</v>
      </c>
      <c r="F158" s="935">
        <v>0</v>
      </c>
      <c r="G158" s="935">
        <v>0</v>
      </c>
      <c r="H158" s="935">
        <v>0</v>
      </c>
      <c r="I158" s="935">
        <v>0</v>
      </c>
      <c r="J158" s="935">
        <v>0</v>
      </c>
      <c r="K158" s="935">
        <v>0</v>
      </c>
      <c r="L158" s="935">
        <v>0</v>
      </c>
      <c r="M158" s="935">
        <v>0</v>
      </c>
      <c r="N158" s="935">
        <v>0</v>
      </c>
      <c r="O158" s="935">
        <v>0</v>
      </c>
      <c r="P158" s="935">
        <v>0</v>
      </c>
      <c r="Q158" s="935">
        <v>0</v>
      </c>
      <c r="R158" s="935">
        <v>0</v>
      </c>
      <c r="S158" s="935">
        <v>0</v>
      </c>
      <c r="T158" s="935">
        <v>0</v>
      </c>
      <c r="U158" s="935">
        <f t="shared" si="21"/>
        <v>0</v>
      </c>
    </row>
    <row r="159" spans="2:21" hidden="1" x14ac:dyDescent="0.2">
      <c r="B159" s="3" t="s">
        <v>203</v>
      </c>
      <c r="C159" s="935">
        <v>0</v>
      </c>
      <c r="D159" s="935">
        <v>0</v>
      </c>
      <c r="E159" s="935">
        <v>0</v>
      </c>
      <c r="F159" s="935">
        <v>0</v>
      </c>
      <c r="G159" s="935">
        <v>0</v>
      </c>
      <c r="H159" s="935">
        <v>0</v>
      </c>
      <c r="I159" s="935">
        <v>0</v>
      </c>
      <c r="J159" s="935">
        <v>0</v>
      </c>
      <c r="K159" s="935">
        <v>0</v>
      </c>
      <c r="L159" s="935">
        <v>0</v>
      </c>
      <c r="M159" s="935">
        <v>0</v>
      </c>
      <c r="N159" s="935">
        <v>0</v>
      </c>
      <c r="O159" s="935">
        <v>0</v>
      </c>
      <c r="P159" s="935">
        <v>0</v>
      </c>
      <c r="Q159" s="935">
        <v>0</v>
      </c>
      <c r="R159" s="935">
        <v>0</v>
      </c>
      <c r="S159" s="935">
        <v>0</v>
      </c>
      <c r="T159" s="935">
        <v>0</v>
      </c>
      <c r="U159" s="935">
        <f t="shared" si="21"/>
        <v>0</v>
      </c>
    </row>
    <row r="160" spans="2:21" hidden="1" x14ac:dyDescent="0.2">
      <c r="B160" s="3" t="s">
        <v>204</v>
      </c>
      <c r="C160" s="935">
        <v>0</v>
      </c>
      <c r="D160" s="935">
        <v>0</v>
      </c>
      <c r="E160" s="935">
        <v>0</v>
      </c>
      <c r="F160" s="935">
        <v>0</v>
      </c>
      <c r="G160" s="935">
        <v>0</v>
      </c>
      <c r="H160" s="935">
        <v>0</v>
      </c>
      <c r="I160" s="935">
        <v>0</v>
      </c>
      <c r="J160" s="935">
        <v>0</v>
      </c>
      <c r="K160" s="935">
        <v>0</v>
      </c>
      <c r="L160" s="935">
        <v>0</v>
      </c>
      <c r="M160" s="935">
        <v>0</v>
      </c>
      <c r="N160" s="935">
        <v>0</v>
      </c>
      <c r="O160" s="935">
        <v>0</v>
      </c>
      <c r="P160" s="935">
        <v>0</v>
      </c>
      <c r="Q160" s="935">
        <v>0</v>
      </c>
      <c r="R160" s="935">
        <v>0</v>
      </c>
      <c r="S160" s="935">
        <v>0</v>
      </c>
      <c r="T160" s="935">
        <v>0</v>
      </c>
      <c r="U160" s="935">
        <f t="shared" si="21"/>
        <v>0</v>
      </c>
    </row>
    <row r="161" spans="2:21" hidden="1" x14ac:dyDescent="0.2">
      <c r="B161" s="3" t="s">
        <v>205</v>
      </c>
      <c r="C161" s="935">
        <v>0</v>
      </c>
      <c r="D161" s="935">
        <v>0</v>
      </c>
      <c r="E161" s="935">
        <v>0</v>
      </c>
      <c r="F161" s="935">
        <v>0</v>
      </c>
      <c r="G161" s="935">
        <v>0</v>
      </c>
      <c r="H161" s="935">
        <v>0</v>
      </c>
      <c r="I161" s="935">
        <v>0</v>
      </c>
      <c r="J161" s="935">
        <v>0</v>
      </c>
      <c r="K161" s="935">
        <v>0</v>
      </c>
      <c r="L161" s="935">
        <v>0</v>
      </c>
      <c r="M161" s="935">
        <v>0</v>
      </c>
      <c r="N161" s="935">
        <v>0</v>
      </c>
      <c r="O161" s="935">
        <v>0</v>
      </c>
      <c r="P161" s="935">
        <v>0</v>
      </c>
      <c r="Q161" s="935">
        <v>0</v>
      </c>
      <c r="R161" s="935">
        <v>0</v>
      </c>
      <c r="S161" s="935">
        <v>0</v>
      </c>
      <c r="T161" s="935">
        <v>0</v>
      </c>
      <c r="U161" s="935">
        <f t="shared" si="21"/>
        <v>0</v>
      </c>
    </row>
    <row r="162" spans="2:21" x14ac:dyDescent="0.2">
      <c r="B162" s="3" t="s">
        <v>206</v>
      </c>
      <c r="C162" s="935">
        <v>0</v>
      </c>
      <c r="D162" s="935">
        <v>0</v>
      </c>
      <c r="E162" s="935">
        <v>0</v>
      </c>
      <c r="F162" s="935">
        <v>0</v>
      </c>
      <c r="G162" s="935">
        <v>0</v>
      </c>
      <c r="H162" s="935">
        <v>0</v>
      </c>
      <c r="I162" s="935">
        <v>0</v>
      </c>
      <c r="J162" s="935">
        <v>0</v>
      </c>
      <c r="K162" s="935">
        <v>0</v>
      </c>
      <c r="L162" s="935">
        <v>0</v>
      </c>
      <c r="M162" s="935">
        <v>0</v>
      </c>
      <c r="N162" s="935">
        <v>0</v>
      </c>
      <c r="O162" s="935">
        <v>0</v>
      </c>
      <c r="P162" s="935">
        <v>0</v>
      </c>
      <c r="Q162" s="935">
        <v>0</v>
      </c>
      <c r="R162" s="935">
        <v>0</v>
      </c>
      <c r="S162" s="935">
        <v>0</v>
      </c>
      <c r="T162" s="935">
        <v>-100000</v>
      </c>
      <c r="U162" s="935">
        <f t="shared" si="21"/>
        <v>-100000</v>
      </c>
    </row>
    <row r="163" spans="2:21" hidden="1" x14ac:dyDescent="0.2">
      <c r="B163" s="3" t="s">
        <v>207</v>
      </c>
      <c r="C163" s="935">
        <v>0</v>
      </c>
      <c r="D163" s="935">
        <v>0</v>
      </c>
      <c r="E163" s="935">
        <v>0</v>
      </c>
      <c r="F163" s="935">
        <v>0</v>
      </c>
      <c r="G163" s="935">
        <v>0</v>
      </c>
      <c r="H163" s="935">
        <v>0</v>
      </c>
      <c r="I163" s="935">
        <v>0</v>
      </c>
      <c r="J163" s="935">
        <v>0</v>
      </c>
      <c r="K163" s="935">
        <v>0</v>
      </c>
      <c r="L163" s="935">
        <v>0</v>
      </c>
      <c r="M163" s="935">
        <v>0</v>
      </c>
      <c r="N163" s="935">
        <v>0</v>
      </c>
      <c r="O163" s="935">
        <v>0</v>
      </c>
      <c r="P163" s="935">
        <v>0</v>
      </c>
      <c r="Q163" s="935">
        <v>0</v>
      </c>
      <c r="R163" s="935">
        <v>0</v>
      </c>
      <c r="S163" s="935">
        <v>0</v>
      </c>
      <c r="T163" s="935">
        <v>0</v>
      </c>
      <c r="U163" s="935">
        <f t="shared" si="21"/>
        <v>0</v>
      </c>
    </row>
    <row r="164" spans="2:21" hidden="1" x14ac:dyDescent="0.2">
      <c r="B164" s="3" t="s">
        <v>208</v>
      </c>
      <c r="C164" s="935">
        <v>0</v>
      </c>
      <c r="D164" s="935">
        <v>0</v>
      </c>
      <c r="E164" s="935">
        <v>0</v>
      </c>
      <c r="F164" s="935">
        <v>0</v>
      </c>
      <c r="G164" s="935">
        <v>0</v>
      </c>
      <c r="H164" s="935">
        <v>0</v>
      </c>
      <c r="I164" s="935">
        <v>0</v>
      </c>
      <c r="J164" s="935">
        <v>0</v>
      </c>
      <c r="K164" s="935">
        <v>0</v>
      </c>
      <c r="L164" s="935">
        <v>0</v>
      </c>
      <c r="M164" s="935">
        <v>0</v>
      </c>
      <c r="N164" s="935">
        <v>0</v>
      </c>
      <c r="O164" s="935">
        <v>0</v>
      </c>
      <c r="P164" s="935">
        <v>0</v>
      </c>
      <c r="Q164" s="935">
        <v>0</v>
      </c>
      <c r="R164" s="935">
        <v>0</v>
      </c>
      <c r="S164" s="935">
        <v>0</v>
      </c>
      <c r="T164" s="935">
        <v>0</v>
      </c>
      <c r="U164" s="935">
        <f t="shared" si="21"/>
        <v>0</v>
      </c>
    </row>
    <row r="165" spans="2:21" x14ac:dyDescent="0.2">
      <c r="B165" s="3" t="s">
        <v>647</v>
      </c>
      <c r="C165" s="935">
        <v>0</v>
      </c>
      <c r="D165" s="935">
        <v>0</v>
      </c>
      <c r="E165" s="935">
        <v>0</v>
      </c>
      <c r="F165" s="935">
        <v>0</v>
      </c>
      <c r="G165" s="935">
        <v>0</v>
      </c>
      <c r="H165" s="935">
        <v>0</v>
      </c>
      <c r="I165" s="935">
        <v>0</v>
      </c>
      <c r="J165" s="935">
        <v>0</v>
      </c>
      <c r="K165" s="935">
        <v>0</v>
      </c>
      <c r="L165" s="935">
        <v>0</v>
      </c>
      <c r="M165" s="935">
        <v>0</v>
      </c>
      <c r="N165" s="935">
        <v>0</v>
      </c>
      <c r="O165" s="935">
        <v>0</v>
      </c>
      <c r="P165" s="935">
        <v>0</v>
      </c>
      <c r="Q165" s="935">
        <v>0</v>
      </c>
      <c r="R165" s="935">
        <v>0</v>
      </c>
      <c r="S165" s="935">
        <v>1820400</v>
      </c>
      <c r="T165" s="935">
        <v>0</v>
      </c>
      <c r="U165" s="935">
        <f t="shared" si="21"/>
        <v>1820400</v>
      </c>
    </row>
    <row r="166" spans="2:21" hidden="1" x14ac:dyDescent="0.2">
      <c r="B166" s="3" t="s">
        <v>210</v>
      </c>
      <c r="C166" s="935">
        <v>0</v>
      </c>
      <c r="D166" s="935">
        <v>0</v>
      </c>
      <c r="E166" s="935">
        <v>0</v>
      </c>
      <c r="F166" s="935">
        <v>0</v>
      </c>
      <c r="G166" s="935">
        <v>0</v>
      </c>
      <c r="H166" s="935">
        <v>0</v>
      </c>
      <c r="I166" s="935">
        <v>0</v>
      </c>
      <c r="J166" s="935">
        <v>0</v>
      </c>
      <c r="K166" s="935">
        <v>0</v>
      </c>
      <c r="L166" s="935">
        <v>0</v>
      </c>
      <c r="M166" s="935">
        <v>0</v>
      </c>
      <c r="N166" s="935">
        <v>0</v>
      </c>
      <c r="O166" s="935">
        <v>0</v>
      </c>
      <c r="P166" s="935">
        <v>0</v>
      </c>
      <c r="Q166" s="935">
        <v>0</v>
      </c>
      <c r="R166" s="935">
        <v>0</v>
      </c>
      <c r="S166" s="935">
        <v>0</v>
      </c>
      <c r="T166" s="935">
        <v>0</v>
      </c>
      <c r="U166" s="935">
        <f t="shared" si="21"/>
        <v>0</v>
      </c>
    </row>
    <row r="167" spans="2:21" hidden="1" x14ac:dyDescent="0.2">
      <c r="B167" s="3" t="s">
        <v>211</v>
      </c>
      <c r="C167" s="935">
        <v>0</v>
      </c>
      <c r="D167" s="935">
        <v>0</v>
      </c>
      <c r="E167" s="935">
        <v>0</v>
      </c>
      <c r="F167" s="935">
        <v>0</v>
      </c>
      <c r="G167" s="935">
        <v>0</v>
      </c>
      <c r="H167" s="935">
        <v>0</v>
      </c>
      <c r="I167" s="935">
        <v>0</v>
      </c>
      <c r="J167" s="935">
        <v>0</v>
      </c>
      <c r="K167" s="935">
        <v>0</v>
      </c>
      <c r="L167" s="935">
        <v>0</v>
      </c>
      <c r="M167" s="935">
        <v>0</v>
      </c>
      <c r="N167" s="935">
        <v>0</v>
      </c>
      <c r="O167" s="935">
        <v>0</v>
      </c>
      <c r="P167" s="935">
        <v>0</v>
      </c>
      <c r="Q167" s="935">
        <v>0</v>
      </c>
      <c r="R167" s="935">
        <v>0</v>
      </c>
      <c r="S167" s="935">
        <v>0</v>
      </c>
      <c r="T167" s="935">
        <v>0</v>
      </c>
      <c r="U167" s="935">
        <f t="shared" si="21"/>
        <v>0</v>
      </c>
    </row>
    <row r="168" spans="2:21" hidden="1" x14ac:dyDescent="0.2">
      <c r="B168" s="3" t="s">
        <v>212</v>
      </c>
      <c r="C168" s="935">
        <v>0</v>
      </c>
      <c r="D168" s="935">
        <v>0</v>
      </c>
      <c r="E168" s="935">
        <v>0</v>
      </c>
      <c r="F168" s="935">
        <v>0</v>
      </c>
      <c r="G168" s="935">
        <v>0</v>
      </c>
      <c r="H168" s="935">
        <v>0</v>
      </c>
      <c r="I168" s="935">
        <v>0</v>
      </c>
      <c r="J168" s="935">
        <v>0</v>
      </c>
      <c r="K168" s="935">
        <v>0</v>
      </c>
      <c r="L168" s="935">
        <v>0</v>
      </c>
      <c r="M168" s="935">
        <v>0</v>
      </c>
      <c r="N168" s="935">
        <v>0</v>
      </c>
      <c r="O168" s="935">
        <v>0</v>
      </c>
      <c r="P168" s="935">
        <v>0</v>
      </c>
      <c r="Q168" s="935">
        <v>0</v>
      </c>
      <c r="R168" s="935">
        <v>0</v>
      </c>
      <c r="S168" s="935">
        <v>0</v>
      </c>
      <c r="T168" s="935">
        <v>0</v>
      </c>
      <c r="U168" s="935">
        <f t="shared" si="21"/>
        <v>0</v>
      </c>
    </row>
    <row r="169" spans="2:21" hidden="1" x14ac:dyDescent="0.2">
      <c r="B169" s="3" t="s">
        <v>213</v>
      </c>
      <c r="C169" s="935">
        <v>0</v>
      </c>
      <c r="D169" s="935">
        <v>0</v>
      </c>
      <c r="E169" s="935">
        <v>0</v>
      </c>
      <c r="F169" s="935">
        <v>0</v>
      </c>
      <c r="G169" s="935">
        <v>0</v>
      </c>
      <c r="H169" s="935">
        <v>0</v>
      </c>
      <c r="I169" s="935">
        <v>0</v>
      </c>
      <c r="J169" s="935">
        <v>0</v>
      </c>
      <c r="K169" s="935">
        <v>0</v>
      </c>
      <c r="L169" s="935">
        <v>0</v>
      </c>
      <c r="M169" s="935">
        <v>0</v>
      </c>
      <c r="N169" s="935">
        <v>0</v>
      </c>
      <c r="O169" s="935">
        <v>0</v>
      </c>
      <c r="P169" s="935">
        <v>0</v>
      </c>
      <c r="Q169" s="935">
        <v>0</v>
      </c>
      <c r="R169" s="935">
        <v>0</v>
      </c>
      <c r="S169" s="935">
        <v>0</v>
      </c>
      <c r="T169" s="935">
        <v>0</v>
      </c>
      <c r="U169" s="935">
        <f t="shared" si="21"/>
        <v>0</v>
      </c>
    </row>
    <row r="170" spans="2:21" hidden="1" x14ac:dyDescent="0.2">
      <c r="B170" s="3" t="s">
        <v>214</v>
      </c>
      <c r="C170" s="935">
        <v>0</v>
      </c>
      <c r="D170" s="935">
        <v>0</v>
      </c>
      <c r="E170" s="935">
        <v>0</v>
      </c>
      <c r="F170" s="935">
        <v>0</v>
      </c>
      <c r="G170" s="935">
        <v>0</v>
      </c>
      <c r="H170" s="935">
        <v>0</v>
      </c>
      <c r="I170" s="935">
        <v>0</v>
      </c>
      <c r="J170" s="935">
        <v>0</v>
      </c>
      <c r="K170" s="935">
        <v>0</v>
      </c>
      <c r="L170" s="935">
        <v>0</v>
      </c>
      <c r="M170" s="935">
        <v>0</v>
      </c>
      <c r="N170" s="935">
        <v>0</v>
      </c>
      <c r="O170" s="935">
        <v>0</v>
      </c>
      <c r="P170" s="935">
        <v>0</v>
      </c>
      <c r="Q170" s="935">
        <v>0</v>
      </c>
      <c r="R170" s="935">
        <v>0</v>
      </c>
      <c r="S170" s="935">
        <v>0</v>
      </c>
      <c r="T170" s="935">
        <v>0</v>
      </c>
      <c r="U170" s="935">
        <f t="shared" si="21"/>
        <v>0</v>
      </c>
    </row>
    <row r="171" spans="2:21" hidden="1" x14ac:dyDescent="0.2">
      <c r="B171" s="3" t="s">
        <v>215</v>
      </c>
      <c r="C171" s="935">
        <v>0</v>
      </c>
      <c r="D171" s="935">
        <v>0</v>
      </c>
      <c r="E171" s="935">
        <v>0</v>
      </c>
      <c r="F171" s="935">
        <v>0</v>
      </c>
      <c r="G171" s="935">
        <v>0</v>
      </c>
      <c r="H171" s="935">
        <v>0</v>
      </c>
      <c r="I171" s="935">
        <v>0</v>
      </c>
      <c r="J171" s="935">
        <v>0</v>
      </c>
      <c r="K171" s="935">
        <v>0</v>
      </c>
      <c r="L171" s="935">
        <v>0</v>
      </c>
      <c r="M171" s="935">
        <v>0</v>
      </c>
      <c r="N171" s="935">
        <v>0</v>
      </c>
      <c r="O171" s="935">
        <v>0</v>
      </c>
      <c r="P171" s="935">
        <v>0</v>
      </c>
      <c r="Q171" s="935">
        <v>0</v>
      </c>
      <c r="R171" s="935">
        <v>0</v>
      </c>
      <c r="S171" s="935">
        <v>0</v>
      </c>
      <c r="T171" s="935">
        <v>0</v>
      </c>
      <c r="U171" s="935">
        <f t="shared" si="21"/>
        <v>0</v>
      </c>
    </row>
    <row r="172" spans="2:21" hidden="1" x14ac:dyDescent="0.2">
      <c r="B172" s="3" t="s">
        <v>216</v>
      </c>
      <c r="C172" s="935">
        <v>0</v>
      </c>
      <c r="D172" s="935">
        <v>0</v>
      </c>
      <c r="E172" s="935">
        <v>0</v>
      </c>
      <c r="F172" s="935">
        <v>0</v>
      </c>
      <c r="G172" s="935">
        <v>0</v>
      </c>
      <c r="H172" s="935">
        <v>0</v>
      </c>
      <c r="I172" s="935">
        <v>0</v>
      </c>
      <c r="J172" s="935">
        <v>0</v>
      </c>
      <c r="K172" s="935">
        <v>0</v>
      </c>
      <c r="L172" s="935">
        <v>0</v>
      </c>
      <c r="M172" s="935">
        <v>0</v>
      </c>
      <c r="N172" s="935">
        <v>0</v>
      </c>
      <c r="O172" s="935">
        <v>0</v>
      </c>
      <c r="P172" s="935">
        <v>0</v>
      </c>
      <c r="Q172" s="935">
        <v>0</v>
      </c>
      <c r="R172" s="935">
        <v>0</v>
      </c>
      <c r="S172" s="935">
        <v>0</v>
      </c>
      <c r="T172" s="935">
        <v>0</v>
      </c>
      <c r="U172" s="935">
        <f t="shared" si="21"/>
        <v>0</v>
      </c>
    </row>
    <row r="173" spans="2:21" hidden="1" x14ac:dyDescent="0.2">
      <c r="B173" s="3" t="s">
        <v>217</v>
      </c>
      <c r="C173" s="935">
        <v>0</v>
      </c>
      <c r="D173" s="935">
        <v>0</v>
      </c>
      <c r="E173" s="935">
        <v>0</v>
      </c>
      <c r="F173" s="935">
        <v>0</v>
      </c>
      <c r="G173" s="935">
        <v>0</v>
      </c>
      <c r="H173" s="935">
        <v>0</v>
      </c>
      <c r="I173" s="935">
        <v>0</v>
      </c>
      <c r="J173" s="935">
        <v>0</v>
      </c>
      <c r="K173" s="935">
        <v>0</v>
      </c>
      <c r="L173" s="935">
        <v>0</v>
      </c>
      <c r="M173" s="935">
        <v>0</v>
      </c>
      <c r="N173" s="935">
        <v>0</v>
      </c>
      <c r="O173" s="935">
        <v>0</v>
      </c>
      <c r="P173" s="935">
        <v>0</v>
      </c>
      <c r="Q173" s="935">
        <v>0</v>
      </c>
      <c r="R173" s="935">
        <v>0</v>
      </c>
      <c r="S173" s="935">
        <v>0</v>
      </c>
      <c r="T173" s="935">
        <v>0</v>
      </c>
      <c r="U173" s="935">
        <f t="shared" si="21"/>
        <v>0</v>
      </c>
    </row>
    <row r="174" spans="2:21" hidden="1" x14ac:dyDescent="0.2">
      <c r="B174" s="3" t="s">
        <v>218</v>
      </c>
      <c r="C174" s="935">
        <v>0</v>
      </c>
      <c r="D174" s="935">
        <v>0</v>
      </c>
      <c r="E174" s="935">
        <v>0</v>
      </c>
      <c r="F174" s="935">
        <v>0</v>
      </c>
      <c r="G174" s="935">
        <v>0</v>
      </c>
      <c r="H174" s="935">
        <v>0</v>
      </c>
      <c r="I174" s="935">
        <v>0</v>
      </c>
      <c r="J174" s="935">
        <v>0</v>
      </c>
      <c r="K174" s="935">
        <v>0</v>
      </c>
      <c r="L174" s="935">
        <v>0</v>
      </c>
      <c r="M174" s="935">
        <v>0</v>
      </c>
      <c r="N174" s="935">
        <v>0</v>
      </c>
      <c r="O174" s="935">
        <v>0</v>
      </c>
      <c r="P174" s="935">
        <v>0</v>
      </c>
      <c r="Q174" s="935">
        <v>0</v>
      </c>
      <c r="R174" s="935">
        <v>0</v>
      </c>
      <c r="S174" s="935">
        <v>0</v>
      </c>
      <c r="T174" s="935">
        <v>0</v>
      </c>
      <c r="U174" s="935">
        <f t="shared" si="21"/>
        <v>0</v>
      </c>
    </row>
    <row r="175" spans="2:21" hidden="1" x14ac:dyDescent="0.2">
      <c r="B175" s="3" t="s">
        <v>219</v>
      </c>
      <c r="C175" s="935">
        <v>0</v>
      </c>
      <c r="D175" s="935">
        <v>0</v>
      </c>
      <c r="E175" s="935">
        <v>0</v>
      </c>
      <c r="F175" s="935">
        <v>0</v>
      </c>
      <c r="G175" s="935">
        <v>0</v>
      </c>
      <c r="H175" s="935">
        <v>0</v>
      </c>
      <c r="I175" s="935">
        <v>0</v>
      </c>
      <c r="J175" s="935">
        <v>0</v>
      </c>
      <c r="K175" s="935">
        <v>0</v>
      </c>
      <c r="L175" s="935">
        <v>0</v>
      </c>
      <c r="M175" s="935">
        <v>0</v>
      </c>
      <c r="N175" s="935">
        <v>0</v>
      </c>
      <c r="O175" s="935">
        <v>0</v>
      </c>
      <c r="P175" s="935">
        <v>0</v>
      </c>
      <c r="Q175" s="935">
        <v>0</v>
      </c>
      <c r="R175" s="935">
        <v>0</v>
      </c>
      <c r="S175" s="935">
        <v>0</v>
      </c>
      <c r="T175" s="935">
        <v>0</v>
      </c>
      <c r="U175" s="935">
        <f t="shared" si="21"/>
        <v>0</v>
      </c>
    </row>
    <row r="176" spans="2:21" hidden="1" x14ac:dyDescent="0.2">
      <c r="B176" s="3" t="s">
        <v>220</v>
      </c>
      <c r="C176" s="935">
        <v>0</v>
      </c>
      <c r="D176" s="935">
        <v>0</v>
      </c>
      <c r="E176" s="935">
        <v>0</v>
      </c>
      <c r="F176" s="935">
        <v>0</v>
      </c>
      <c r="G176" s="935">
        <v>0</v>
      </c>
      <c r="H176" s="935">
        <v>0</v>
      </c>
      <c r="I176" s="935">
        <v>0</v>
      </c>
      <c r="J176" s="935">
        <v>0</v>
      </c>
      <c r="K176" s="935">
        <v>0</v>
      </c>
      <c r="L176" s="935">
        <v>0</v>
      </c>
      <c r="M176" s="935">
        <v>0</v>
      </c>
      <c r="N176" s="935">
        <v>0</v>
      </c>
      <c r="O176" s="935">
        <v>0</v>
      </c>
      <c r="P176" s="935">
        <v>0</v>
      </c>
      <c r="Q176" s="935">
        <v>0</v>
      </c>
      <c r="R176" s="935">
        <v>0</v>
      </c>
      <c r="S176" s="935">
        <v>0</v>
      </c>
      <c r="T176" s="935">
        <v>0</v>
      </c>
      <c r="U176" s="935">
        <f t="shared" si="21"/>
        <v>0</v>
      </c>
    </row>
    <row r="177" spans="1:21" hidden="1" x14ac:dyDescent="0.2">
      <c r="B177" s="3" t="s">
        <v>221</v>
      </c>
      <c r="C177" s="935">
        <v>0</v>
      </c>
      <c r="D177" s="935">
        <v>0</v>
      </c>
      <c r="E177" s="935">
        <v>0</v>
      </c>
      <c r="F177" s="935">
        <v>0</v>
      </c>
      <c r="G177" s="935">
        <v>0</v>
      </c>
      <c r="H177" s="935">
        <v>0</v>
      </c>
      <c r="I177" s="935">
        <v>0</v>
      </c>
      <c r="J177" s="935">
        <v>0</v>
      </c>
      <c r="K177" s="935">
        <v>0</v>
      </c>
      <c r="L177" s="935">
        <v>0</v>
      </c>
      <c r="M177" s="935">
        <v>0</v>
      </c>
      <c r="N177" s="935">
        <v>0</v>
      </c>
      <c r="O177" s="935">
        <v>0</v>
      </c>
      <c r="P177" s="935">
        <v>0</v>
      </c>
      <c r="Q177" s="935">
        <v>0</v>
      </c>
      <c r="R177" s="935">
        <v>0</v>
      </c>
      <c r="S177" s="935">
        <v>0</v>
      </c>
      <c r="T177" s="935">
        <v>0</v>
      </c>
      <c r="U177" s="935">
        <f t="shared" si="21"/>
        <v>0</v>
      </c>
    </row>
    <row r="178" spans="1:21" hidden="1" x14ac:dyDescent="0.2">
      <c r="A178" s="2" t="s">
        <v>10</v>
      </c>
      <c r="B178" s="3" t="s">
        <v>142</v>
      </c>
      <c r="C178" s="935">
        <v>0</v>
      </c>
      <c r="D178" s="935">
        <v>0</v>
      </c>
      <c r="E178" s="935">
        <v>0</v>
      </c>
      <c r="F178" s="935">
        <v>0</v>
      </c>
      <c r="G178" s="935">
        <v>0</v>
      </c>
      <c r="H178" s="935">
        <v>0</v>
      </c>
      <c r="I178" s="935">
        <v>0</v>
      </c>
      <c r="J178" s="935">
        <v>0</v>
      </c>
      <c r="K178" s="935">
        <v>0</v>
      </c>
      <c r="L178" s="935">
        <v>0</v>
      </c>
      <c r="M178" s="935">
        <v>0</v>
      </c>
      <c r="N178" s="935">
        <v>0</v>
      </c>
      <c r="O178" s="935">
        <v>0</v>
      </c>
      <c r="P178" s="935">
        <v>0</v>
      </c>
      <c r="Q178" s="935">
        <v>0</v>
      </c>
      <c r="R178" s="935">
        <v>0</v>
      </c>
      <c r="S178" s="935">
        <v>0</v>
      </c>
      <c r="T178" s="935">
        <v>0</v>
      </c>
      <c r="U178" s="935">
        <f t="shared" si="21"/>
        <v>0</v>
      </c>
    </row>
    <row r="179" spans="1:21" hidden="1" x14ac:dyDescent="0.2">
      <c r="A179" s="2" t="s">
        <v>10</v>
      </c>
      <c r="B179" s="3" t="s">
        <v>141</v>
      </c>
      <c r="C179" s="935">
        <v>0</v>
      </c>
      <c r="D179" s="935">
        <v>0</v>
      </c>
      <c r="E179" s="935">
        <v>0</v>
      </c>
      <c r="F179" s="935">
        <v>0</v>
      </c>
      <c r="G179" s="935">
        <v>0</v>
      </c>
      <c r="H179" s="935">
        <v>0</v>
      </c>
      <c r="I179" s="935">
        <v>0</v>
      </c>
      <c r="J179" s="935">
        <v>0</v>
      </c>
      <c r="K179" s="935">
        <v>0</v>
      </c>
      <c r="L179" s="935">
        <v>0</v>
      </c>
      <c r="M179" s="935">
        <v>0</v>
      </c>
      <c r="N179" s="935">
        <v>0</v>
      </c>
      <c r="O179" s="935">
        <v>0</v>
      </c>
      <c r="P179" s="935">
        <v>0</v>
      </c>
      <c r="Q179" s="935">
        <v>0</v>
      </c>
      <c r="R179" s="935">
        <v>0</v>
      </c>
      <c r="S179" s="935">
        <v>0</v>
      </c>
      <c r="T179" s="935">
        <v>0</v>
      </c>
      <c r="U179" s="935">
        <f t="shared" si="21"/>
        <v>0</v>
      </c>
    </row>
    <row r="180" spans="1:21" hidden="1" x14ac:dyDescent="0.2">
      <c r="A180" s="2" t="s">
        <v>33</v>
      </c>
      <c r="B180" s="3" t="s">
        <v>222</v>
      </c>
      <c r="C180" s="935">
        <v>0</v>
      </c>
      <c r="D180" s="935">
        <v>0</v>
      </c>
      <c r="E180" s="935">
        <v>0</v>
      </c>
      <c r="F180" s="935">
        <v>0</v>
      </c>
      <c r="G180" s="935">
        <v>0</v>
      </c>
      <c r="H180" s="935">
        <v>0</v>
      </c>
      <c r="I180" s="935">
        <v>0</v>
      </c>
      <c r="J180" s="935">
        <v>0</v>
      </c>
      <c r="K180" s="935">
        <v>0</v>
      </c>
      <c r="L180" s="935">
        <v>0</v>
      </c>
      <c r="M180" s="935">
        <v>0</v>
      </c>
      <c r="N180" s="935">
        <v>0</v>
      </c>
      <c r="O180" s="935">
        <v>0</v>
      </c>
      <c r="P180" s="935">
        <v>0</v>
      </c>
      <c r="Q180" s="935">
        <v>0</v>
      </c>
      <c r="R180" s="935">
        <v>0</v>
      </c>
      <c r="S180" s="935">
        <v>0</v>
      </c>
      <c r="T180" s="935">
        <v>0</v>
      </c>
      <c r="U180" s="935">
        <f t="shared" si="21"/>
        <v>0</v>
      </c>
    </row>
    <row r="181" spans="1:21" hidden="1" x14ac:dyDescent="0.2">
      <c r="A181" s="2" t="s">
        <v>10</v>
      </c>
      <c r="B181" s="3" t="s">
        <v>138</v>
      </c>
      <c r="C181" s="935">
        <v>0</v>
      </c>
      <c r="D181" s="935">
        <v>0</v>
      </c>
      <c r="E181" s="935">
        <v>0</v>
      </c>
      <c r="F181" s="935">
        <v>0</v>
      </c>
      <c r="G181" s="935">
        <v>0</v>
      </c>
      <c r="H181" s="935">
        <v>0</v>
      </c>
      <c r="I181" s="935">
        <v>0</v>
      </c>
      <c r="J181" s="935">
        <v>0</v>
      </c>
      <c r="K181" s="935">
        <v>0</v>
      </c>
      <c r="L181" s="935">
        <v>0</v>
      </c>
      <c r="M181" s="935">
        <v>0</v>
      </c>
      <c r="N181" s="935">
        <v>0</v>
      </c>
      <c r="O181" s="935">
        <v>0</v>
      </c>
      <c r="P181" s="935">
        <v>0</v>
      </c>
      <c r="Q181" s="935">
        <v>0</v>
      </c>
      <c r="R181" s="935">
        <v>0</v>
      </c>
      <c r="S181" s="935">
        <v>0</v>
      </c>
      <c r="T181" s="935">
        <v>0</v>
      </c>
      <c r="U181" s="935">
        <f t="shared" si="21"/>
        <v>0</v>
      </c>
    </row>
    <row r="182" spans="1:21" hidden="1" x14ac:dyDescent="0.2">
      <c r="A182" s="2" t="s">
        <v>10</v>
      </c>
      <c r="B182" s="3" t="s">
        <v>136</v>
      </c>
      <c r="C182" s="935">
        <v>0</v>
      </c>
      <c r="D182" s="935">
        <v>0</v>
      </c>
      <c r="E182" s="935">
        <v>0</v>
      </c>
      <c r="F182" s="935">
        <v>0</v>
      </c>
      <c r="G182" s="935">
        <v>0</v>
      </c>
      <c r="H182" s="935">
        <v>0</v>
      </c>
      <c r="I182" s="935">
        <v>0</v>
      </c>
      <c r="J182" s="935">
        <v>0</v>
      </c>
      <c r="K182" s="935">
        <v>0</v>
      </c>
      <c r="L182" s="935">
        <v>0</v>
      </c>
      <c r="M182" s="935">
        <v>0</v>
      </c>
      <c r="N182" s="935">
        <v>0</v>
      </c>
      <c r="O182" s="935">
        <v>0</v>
      </c>
      <c r="P182" s="935">
        <v>0</v>
      </c>
      <c r="Q182" s="935">
        <v>0</v>
      </c>
      <c r="R182" s="935">
        <v>0</v>
      </c>
      <c r="S182" s="935">
        <v>0</v>
      </c>
      <c r="T182" s="935">
        <v>0</v>
      </c>
      <c r="U182" s="935">
        <f t="shared" si="21"/>
        <v>0</v>
      </c>
    </row>
    <row r="183" spans="1:21" hidden="1" x14ac:dyDescent="0.2">
      <c r="B183" s="3" t="s">
        <v>223</v>
      </c>
      <c r="C183" s="935">
        <v>0</v>
      </c>
      <c r="D183" s="935">
        <v>0</v>
      </c>
      <c r="E183" s="935">
        <v>0</v>
      </c>
      <c r="F183" s="935">
        <v>0</v>
      </c>
      <c r="G183" s="935">
        <v>0</v>
      </c>
      <c r="H183" s="935">
        <v>0</v>
      </c>
      <c r="I183" s="935">
        <v>0</v>
      </c>
      <c r="J183" s="935">
        <v>0</v>
      </c>
      <c r="K183" s="935">
        <v>0</v>
      </c>
      <c r="L183" s="935">
        <v>0</v>
      </c>
      <c r="M183" s="935">
        <v>0</v>
      </c>
      <c r="N183" s="935">
        <v>0</v>
      </c>
      <c r="O183" s="935">
        <v>0</v>
      </c>
      <c r="P183" s="935">
        <v>0</v>
      </c>
      <c r="Q183" s="935">
        <v>0</v>
      </c>
      <c r="R183" s="935">
        <v>0</v>
      </c>
      <c r="S183" s="935">
        <v>0</v>
      </c>
      <c r="T183" s="935">
        <v>0</v>
      </c>
      <c r="U183" s="935">
        <f t="shared" si="21"/>
        <v>0</v>
      </c>
    </row>
    <row r="184" spans="1:21" hidden="1" x14ac:dyDescent="0.2">
      <c r="B184" s="3" t="s">
        <v>224</v>
      </c>
      <c r="C184" s="935">
        <v>0</v>
      </c>
      <c r="D184" s="935">
        <v>0</v>
      </c>
      <c r="E184" s="935">
        <v>0</v>
      </c>
      <c r="F184" s="935">
        <v>0</v>
      </c>
      <c r="G184" s="935">
        <v>0</v>
      </c>
      <c r="H184" s="935">
        <v>0</v>
      </c>
      <c r="I184" s="935">
        <v>0</v>
      </c>
      <c r="J184" s="935">
        <v>0</v>
      </c>
      <c r="K184" s="935">
        <v>0</v>
      </c>
      <c r="L184" s="935">
        <v>0</v>
      </c>
      <c r="M184" s="935">
        <v>0</v>
      </c>
      <c r="N184" s="935">
        <v>0</v>
      </c>
      <c r="O184" s="935">
        <v>0</v>
      </c>
      <c r="P184" s="935">
        <v>0</v>
      </c>
      <c r="Q184" s="935">
        <v>0</v>
      </c>
      <c r="R184" s="935">
        <v>0</v>
      </c>
      <c r="S184" s="935">
        <v>0</v>
      </c>
      <c r="T184" s="935">
        <v>0</v>
      </c>
      <c r="U184" s="935">
        <f t="shared" si="21"/>
        <v>0</v>
      </c>
    </row>
    <row r="185" spans="1:21" hidden="1" x14ac:dyDescent="0.2">
      <c r="B185" s="3" t="s">
        <v>225</v>
      </c>
      <c r="C185" s="935">
        <v>0</v>
      </c>
      <c r="D185" s="935">
        <v>0</v>
      </c>
      <c r="E185" s="935">
        <v>0</v>
      </c>
      <c r="F185" s="935">
        <v>0</v>
      </c>
      <c r="G185" s="935">
        <v>0</v>
      </c>
      <c r="H185" s="935">
        <v>0</v>
      </c>
      <c r="I185" s="935">
        <v>0</v>
      </c>
      <c r="J185" s="935">
        <v>0</v>
      </c>
      <c r="K185" s="935">
        <v>0</v>
      </c>
      <c r="L185" s="935">
        <v>0</v>
      </c>
      <c r="M185" s="935">
        <v>0</v>
      </c>
      <c r="N185" s="935">
        <v>0</v>
      </c>
      <c r="O185" s="935">
        <v>0</v>
      </c>
      <c r="P185" s="935">
        <v>0</v>
      </c>
      <c r="Q185" s="935">
        <v>0</v>
      </c>
      <c r="R185" s="935">
        <v>0</v>
      </c>
      <c r="S185" s="935">
        <v>0</v>
      </c>
      <c r="T185" s="935">
        <v>0</v>
      </c>
      <c r="U185" s="935">
        <f t="shared" si="21"/>
        <v>0</v>
      </c>
    </row>
    <row r="186" spans="1:21" hidden="1" x14ac:dyDescent="0.2">
      <c r="B186" s="3" t="s">
        <v>226</v>
      </c>
      <c r="C186" s="935">
        <v>0</v>
      </c>
      <c r="D186" s="935">
        <v>0</v>
      </c>
      <c r="E186" s="935">
        <v>0</v>
      </c>
      <c r="F186" s="935">
        <v>0</v>
      </c>
      <c r="G186" s="935">
        <v>0</v>
      </c>
      <c r="H186" s="935">
        <v>0</v>
      </c>
      <c r="I186" s="935">
        <v>0</v>
      </c>
      <c r="J186" s="935">
        <v>0</v>
      </c>
      <c r="K186" s="935">
        <v>0</v>
      </c>
      <c r="L186" s="935">
        <v>0</v>
      </c>
      <c r="M186" s="935">
        <v>0</v>
      </c>
      <c r="N186" s="935">
        <v>0</v>
      </c>
      <c r="O186" s="935">
        <v>0</v>
      </c>
      <c r="P186" s="935">
        <v>0</v>
      </c>
      <c r="Q186" s="935">
        <v>0</v>
      </c>
      <c r="R186" s="935">
        <v>0</v>
      </c>
      <c r="S186" s="935">
        <v>0</v>
      </c>
      <c r="T186" s="935">
        <v>0</v>
      </c>
      <c r="U186" s="935">
        <f t="shared" si="21"/>
        <v>0</v>
      </c>
    </row>
    <row r="187" spans="1:21" hidden="1" x14ac:dyDescent="0.2">
      <c r="B187" s="3" t="s">
        <v>227</v>
      </c>
      <c r="C187" s="935">
        <v>0</v>
      </c>
      <c r="D187" s="935">
        <v>0</v>
      </c>
      <c r="E187" s="935">
        <v>0</v>
      </c>
      <c r="F187" s="935">
        <v>0</v>
      </c>
      <c r="G187" s="935">
        <v>0</v>
      </c>
      <c r="H187" s="935">
        <v>0</v>
      </c>
      <c r="I187" s="935">
        <v>0</v>
      </c>
      <c r="J187" s="935">
        <v>0</v>
      </c>
      <c r="K187" s="935">
        <v>0</v>
      </c>
      <c r="L187" s="935">
        <v>0</v>
      </c>
      <c r="M187" s="935">
        <v>0</v>
      </c>
      <c r="N187" s="935">
        <v>0</v>
      </c>
      <c r="O187" s="935">
        <v>0</v>
      </c>
      <c r="P187" s="935">
        <v>0</v>
      </c>
      <c r="Q187" s="935">
        <v>0</v>
      </c>
      <c r="R187" s="935">
        <v>0</v>
      </c>
      <c r="S187" s="935">
        <v>0</v>
      </c>
      <c r="T187" s="935">
        <v>0</v>
      </c>
      <c r="U187" s="935">
        <f t="shared" si="21"/>
        <v>0</v>
      </c>
    </row>
    <row r="188" spans="1:21" hidden="1" x14ac:dyDescent="0.2">
      <c r="B188" s="3" t="s">
        <v>228</v>
      </c>
      <c r="C188" s="935">
        <v>0</v>
      </c>
      <c r="D188" s="935">
        <v>0</v>
      </c>
      <c r="E188" s="935">
        <v>0</v>
      </c>
      <c r="F188" s="935">
        <v>0</v>
      </c>
      <c r="G188" s="935">
        <v>0</v>
      </c>
      <c r="H188" s="935">
        <v>0</v>
      </c>
      <c r="I188" s="935">
        <v>0</v>
      </c>
      <c r="J188" s="935">
        <v>0</v>
      </c>
      <c r="K188" s="935">
        <v>0</v>
      </c>
      <c r="L188" s="935">
        <v>0</v>
      </c>
      <c r="M188" s="935">
        <v>0</v>
      </c>
      <c r="N188" s="935">
        <v>0</v>
      </c>
      <c r="O188" s="935">
        <v>0</v>
      </c>
      <c r="P188" s="935">
        <v>0</v>
      </c>
      <c r="Q188" s="935">
        <v>0</v>
      </c>
      <c r="R188" s="935">
        <v>0</v>
      </c>
      <c r="S188" s="935">
        <v>0</v>
      </c>
      <c r="T188" s="935">
        <v>0</v>
      </c>
      <c r="U188" s="935">
        <f t="shared" si="21"/>
        <v>0</v>
      </c>
    </row>
    <row r="189" spans="1:21" hidden="1" x14ac:dyDescent="0.2">
      <c r="B189" s="3" t="s">
        <v>229</v>
      </c>
      <c r="C189" s="935">
        <v>0</v>
      </c>
      <c r="D189" s="935">
        <v>0</v>
      </c>
      <c r="E189" s="935">
        <v>0</v>
      </c>
      <c r="F189" s="935">
        <v>0</v>
      </c>
      <c r="G189" s="935">
        <v>0</v>
      </c>
      <c r="H189" s="935">
        <v>0</v>
      </c>
      <c r="I189" s="935">
        <v>0</v>
      </c>
      <c r="J189" s="935">
        <v>0</v>
      </c>
      <c r="K189" s="935">
        <v>0</v>
      </c>
      <c r="L189" s="935">
        <v>0</v>
      </c>
      <c r="M189" s="935">
        <v>0</v>
      </c>
      <c r="N189" s="935">
        <v>0</v>
      </c>
      <c r="O189" s="935">
        <v>0</v>
      </c>
      <c r="P189" s="935">
        <v>0</v>
      </c>
      <c r="Q189" s="935">
        <v>0</v>
      </c>
      <c r="R189" s="935">
        <v>0</v>
      </c>
      <c r="S189" s="935">
        <v>0</v>
      </c>
      <c r="T189" s="935">
        <v>0</v>
      </c>
      <c r="U189" s="935">
        <f t="shared" si="21"/>
        <v>0</v>
      </c>
    </row>
    <row r="190" spans="1:21" hidden="1" x14ac:dyDescent="0.2">
      <c r="B190" s="3" t="s">
        <v>230</v>
      </c>
      <c r="C190" s="935">
        <v>0</v>
      </c>
      <c r="D190" s="935">
        <v>0</v>
      </c>
      <c r="E190" s="935">
        <v>0</v>
      </c>
      <c r="F190" s="935">
        <v>0</v>
      </c>
      <c r="G190" s="935">
        <v>0</v>
      </c>
      <c r="H190" s="935">
        <v>0</v>
      </c>
      <c r="I190" s="935">
        <v>0</v>
      </c>
      <c r="J190" s="935">
        <v>0</v>
      </c>
      <c r="K190" s="935">
        <v>0</v>
      </c>
      <c r="L190" s="935">
        <v>0</v>
      </c>
      <c r="M190" s="935">
        <v>0</v>
      </c>
      <c r="N190" s="935">
        <v>0</v>
      </c>
      <c r="O190" s="935">
        <v>0</v>
      </c>
      <c r="P190" s="935">
        <v>0</v>
      </c>
      <c r="Q190" s="935">
        <v>0</v>
      </c>
      <c r="R190" s="935">
        <v>0</v>
      </c>
      <c r="S190" s="935">
        <v>0</v>
      </c>
      <c r="T190" s="935">
        <v>0</v>
      </c>
      <c r="U190" s="935">
        <f t="shared" si="21"/>
        <v>0</v>
      </c>
    </row>
    <row r="191" spans="1:21" hidden="1" x14ac:dyDescent="0.2">
      <c r="B191" s="3" t="s">
        <v>231</v>
      </c>
      <c r="C191" s="935">
        <v>0</v>
      </c>
      <c r="D191" s="935">
        <v>0</v>
      </c>
      <c r="E191" s="935">
        <v>0</v>
      </c>
      <c r="F191" s="935">
        <v>0</v>
      </c>
      <c r="G191" s="935">
        <v>0</v>
      </c>
      <c r="H191" s="935">
        <v>0</v>
      </c>
      <c r="I191" s="935">
        <v>0</v>
      </c>
      <c r="J191" s="935">
        <v>0</v>
      </c>
      <c r="K191" s="935">
        <v>0</v>
      </c>
      <c r="L191" s="935">
        <v>0</v>
      </c>
      <c r="M191" s="935">
        <v>0</v>
      </c>
      <c r="N191" s="935">
        <v>0</v>
      </c>
      <c r="O191" s="935">
        <v>0</v>
      </c>
      <c r="P191" s="935">
        <v>0</v>
      </c>
      <c r="Q191" s="935">
        <v>0</v>
      </c>
      <c r="R191" s="935">
        <v>0</v>
      </c>
      <c r="S191" s="935">
        <v>0</v>
      </c>
      <c r="T191" s="935">
        <v>0</v>
      </c>
      <c r="U191" s="935">
        <f t="shared" si="21"/>
        <v>0</v>
      </c>
    </row>
    <row r="192" spans="1:21" hidden="1" x14ac:dyDescent="0.2">
      <c r="B192" s="3" t="s">
        <v>232</v>
      </c>
      <c r="C192" s="935">
        <v>0</v>
      </c>
      <c r="D192" s="935">
        <v>0</v>
      </c>
      <c r="E192" s="935">
        <v>0</v>
      </c>
      <c r="F192" s="935">
        <v>0</v>
      </c>
      <c r="G192" s="935">
        <v>0</v>
      </c>
      <c r="H192" s="935">
        <v>0</v>
      </c>
      <c r="I192" s="935">
        <v>0</v>
      </c>
      <c r="J192" s="935">
        <v>0</v>
      </c>
      <c r="K192" s="935">
        <v>0</v>
      </c>
      <c r="L192" s="935">
        <v>0</v>
      </c>
      <c r="M192" s="935">
        <v>0</v>
      </c>
      <c r="N192" s="935">
        <v>0</v>
      </c>
      <c r="O192" s="935">
        <v>0</v>
      </c>
      <c r="P192" s="935">
        <v>0</v>
      </c>
      <c r="Q192" s="935">
        <v>0</v>
      </c>
      <c r="R192" s="935">
        <v>0</v>
      </c>
      <c r="S192" s="935">
        <v>0</v>
      </c>
      <c r="T192" s="935">
        <v>0</v>
      </c>
      <c r="U192" s="935">
        <f t="shared" si="21"/>
        <v>0</v>
      </c>
    </row>
    <row r="193" spans="2:21" hidden="1" x14ac:dyDescent="0.2">
      <c r="B193" s="3" t="s">
        <v>233</v>
      </c>
      <c r="C193" s="935">
        <v>0</v>
      </c>
      <c r="D193" s="935">
        <v>0</v>
      </c>
      <c r="E193" s="935">
        <v>0</v>
      </c>
      <c r="F193" s="935">
        <v>0</v>
      </c>
      <c r="G193" s="935">
        <v>0</v>
      </c>
      <c r="H193" s="935">
        <v>0</v>
      </c>
      <c r="I193" s="935">
        <v>0</v>
      </c>
      <c r="J193" s="935">
        <v>0</v>
      </c>
      <c r="K193" s="935">
        <v>0</v>
      </c>
      <c r="L193" s="935">
        <v>0</v>
      </c>
      <c r="M193" s="935">
        <v>0</v>
      </c>
      <c r="N193" s="935">
        <v>0</v>
      </c>
      <c r="O193" s="935">
        <v>0</v>
      </c>
      <c r="P193" s="935">
        <v>0</v>
      </c>
      <c r="Q193" s="935">
        <v>0</v>
      </c>
      <c r="R193" s="935">
        <v>0</v>
      </c>
      <c r="S193" s="935">
        <v>0</v>
      </c>
      <c r="T193" s="935">
        <v>0</v>
      </c>
      <c r="U193" s="935">
        <f t="shared" si="21"/>
        <v>0</v>
      </c>
    </row>
    <row r="194" spans="2:21" hidden="1" x14ac:dyDescent="0.2">
      <c r="B194" s="3" t="s">
        <v>234</v>
      </c>
      <c r="C194" s="935">
        <v>0</v>
      </c>
      <c r="D194" s="935">
        <v>0</v>
      </c>
      <c r="E194" s="935">
        <v>0</v>
      </c>
      <c r="F194" s="935">
        <v>0</v>
      </c>
      <c r="G194" s="935">
        <v>0</v>
      </c>
      <c r="H194" s="935">
        <v>0</v>
      </c>
      <c r="I194" s="935">
        <v>0</v>
      </c>
      <c r="J194" s="935">
        <v>0</v>
      </c>
      <c r="K194" s="935">
        <v>0</v>
      </c>
      <c r="L194" s="935">
        <v>0</v>
      </c>
      <c r="M194" s="935">
        <v>0</v>
      </c>
      <c r="N194" s="935">
        <v>0</v>
      </c>
      <c r="O194" s="935">
        <v>0</v>
      </c>
      <c r="P194" s="935">
        <v>0</v>
      </c>
      <c r="Q194" s="935">
        <v>0</v>
      </c>
      <c r="R194" s="935">
        <v>0</v>
      </c>
      <c r="S194" s="935">
        <v>0</v>
      </c>
      <c r="T194" s="935">
        <v>0</v>
      </c>
      <c r="U194" s="935">
        <f t="shared" si="21"/>
        <v>0</v>
      </c>
    </row>
    <row r="195" spans="2:21" x14ac:dyDescent="0.2">
      <c r="B195" s="3" t="s">
        <v>9</v>
      </c>
      <c r="C195" s="935">
        <v>0</v>
      </c>
      <c r="D195" s="935">
        <v>0</v>
      </c>
      <c r="E195" s="935">
        <v>0</v>
      </c>
      <c r="F195" s="935">
        <v>0</v>
      </c>
      <c r="G195" s="935">
        <v>0</v>
      </c>
      <c r="H195" s="935">
        <v>0</v>
      </c>
      <c r="I195" s="935">
        <v>0</v>
      </c>
      <c r="J195" s="935">
        <v>0</v>
      </c>
      <c r="K195" s="935">
        <v>0</v>
      </c>
      <c r="L195" s="935">
        <v>0</v>
      </c>
      <c r="M195" s="935">
        <v>0</v>
      </c>
      <c r="N195" s="935">
        <v>0</v>
      </c>
      <c r="O195" s="935">
        <v>0</v>
      </c>
      <c r="P195" s="935">
        <v>0</v>
      </c>
      <c r="Q195" s="935">
        <v>0</v>
      </c>
      <c r="R195" s="935">
        <v>0</v>
      </c>
      <c r="S195" s="935">
        <v>0</v>
      </c>
      <c r="T195" s="935">
        <v>-527010</v>
      </c>
      <c r="U195" s="935">
        <f t="shared" si="21"/>
        <v>-527010</v>
      </c>
    </row>
    <row r="196" spans="2:21" hidden="1" x14ac:dyDescent="0.2">
      <c r="B196" s="3" t="s">
        <v>581</v>
      </c>
      <c r="C196" s="935">
        <v>0</v>
      </c>
      <c r="D196" s="935">
        <v>0</v>
      </c>
      <c r="E196" s="935">
        <v>0</v>
      </c>
      <c r="F196" s="935">
        <v>0</v>
      </c>
      <c r="G196" s="935">
        <v>0</v>
      </c>
      <c r="H196" s="935">
        <v>0</v>
      </c>
      <c r="I196" s="935">
        <v>0</v>
      </c>
      <c r="J196" s="935">
        <v>0</v>
      </c>
      <c r="K196" s="935">
        <v>0</v>
      </c>
      <c r="L196" s="935">
        <v>0</v>
      </c>
      <c r="M196" s="935">
        <v>0</v>
      </c>
      <c r="N196" s="935">
        <v>0</v>
      </c>
      <c r="O196" s="935">
        <v>0</v>
      </c>
      <c r="P196" s="935">
        <v>0</v>
      </c>
      <c r="Q196" s="935">
        <v>0</v>
      </c>
      <c r="R196" s="935">
        <v>0</v>
      </c>
      <c r="S196" s="935">
        <v>0</v>
      </c>
      <c r="T196" s="935">
        <v>0</v>
      </c>
      <c r="U196" s="935">
        <f t="shared" si="21"/>
        <v>0</v>
      </c>
    </row>
    <row r="197" spans="2:21" hidden="1" x14ac:dyDescent="0.2">
      <c r="B197" s="3" t="s">
        <v>235</v>
      </c>
      <c r="C197" s="935">
        <v>0</v>
      </c>
      <c r="D197" s="935">
        <v>0</v>
      </c>
      <c r="E197" s="935">
        <v>0</v>
      </c>
      <c r="F197" s="935">
        <v>0</v>
      </c>
      <c r="G197" s="935">
        <v>0</v>
      </c>
      <c r="H197" s="935">
        <v>0</v>
      </c>
      <c r="I197" s="935">
        <v>0</v>
      </c>
      <c r="J197" s="935">
        <v>0</v>
      </c>
      <c r="K197" s="935">
        <v>0</v>
      </c>
      <c r="L197" s="935">
        <v>0</v>
      </c>
      <c r="M197" s="935">
        <v>0</v>
      </c>
      <c r="N197" s="935">
        <v>0</v>
      </c>
      <c r="O197" s="935">
        <v>0</v>
      </c>
      <c r="P197" s="935">
        <v>0</v>
      </c>
      <c r="Q197" s="935">
        <v>0</v>
      </c>
      <c r="R197" s="935">
        <v>0</v>
      </c>
      <c r="S197" s="935">
        <v>0</v>
      </c>
      <c r="T197" s="935">
        <v>0</v>
      </c>
      <c r="U197" s="935">
        <f t="shared" si="21"/>
        <v>0</v>
      </c>
    </row>
    <row r="198" spans="2:21" hidden="1" x14ac:dyDescent="0.2">
      <c r="B198" s="3" t="s">
        <v>236</v>
      </c>
      <c r="C198" s="935">
        <v>0</v>
      </c>
      <c r="D198" s="935">
        <v>0</v>
      </c>
      <c r="E198" s="935">
        <v>0</v>
      </c>
      <c r="F198" s="935">
        <v>0</v>
      </c>
      <c r="G198" s="935">
        <v>0</v>
      </c>
      <c r="H198" s="935">
        <v>0</v>
      </c>
      <c r="I198" s="935">
        <v>0</v>
      </c>
      <c r="J198" s="935">
        <v>0</v>
      </c>
      <c r="K198" s="935">
        <v>0</v>
      </c>
      <c r="L198" s="935">
        <v>0</v>
      </c>
      <c r="M198" s="935">
        <v>0</v>
      </c>
      <c r="N198" s="935">
        <v>0</v>
      </c>
      <c r="O198" s="935">
        <v>0</v>
      </c>
      <c r="P198" s="935">
        <v>0</v>
      </c>
      <c r="Q198" s="935">
        <v>0</v>
      </c>
      <c r="R198" s="935">
        <v>0</v>
      </c>
      <c r="S198" s="935">
        <v>0</v>
      </c>
      <c r="T198" s="935">
        <v>0</v>
      </c>
      <c r="U198" s="935">
        <f t="shared" si="21"/>
        <v>0</v>
      </c>
    </row>
    <row r="199" spans="2:21" hidden="1" x14ac:dyDescent="0.2">
      <c r="B199" s="3" t="s">
        <v>237</v>
      </c>
      <c r="C199" s="935">
        <v>0</v>
      </c>
      <c r="D199" s="935">
        <v>0</v>
      </c>
      <c r="E199" s="935">
        <v>0</v>
      </c>
      <c r="F199" s="935">
        <v>0</v>
      </c>
      <c r="G199" s="935">
        <v>0</v>
      </c>
      <c r="H199" s="935">
        <v>0</v>
      </c>
      <c r="I199" s="935">
        <v>0</v>
      </c>
      <c r="J199" s="935">
        <v>0</v>
      </c>
      <c r="K199" s="935">
        <v>0</v>
      </c>
      <c r="L199" s="935">
        <v>0</v>
      </c>
      <c r="M199" s="935">
        <v>0</v>
      </c>
      <c r="N199" s="935">
        <v>0</v>
      </c>
      <c r="O199" s="935">
        <v>0</v>
      </c>
      <c r="P199" s="935">
        <v>0</v>
      </c>
      <c r="Q199" s="935">
        <v>0</v>
      </c>
      <c r="R199" s="935">
        <v>0</v>
      </c>
      <c r="S199" s="935">
        <v>0</v>
      </c>
      <c r="T199" s="935">
        <v>0</v>
      </c>
      <c r="U199" s="935">
        <f t="shared" si="21"/>
        <v>0</v>
      </c>
    </row>
    <row r="200" spans="2:21" hidden="1" x14ac:dyDescent="0.2">
      <c r="B200" s="3" t="s">
        <v>238</v>
      </c>
      <c r="C200" s="935">
        <v>0</v>
      </c>
      <c r="D200" s="935">
        <v>0</v>
      </c>
      <c r="E200" s="935">
        <v>0</v>
      </c>
      <c r="F200" s="935">
        <v>0</v>
      </c>
      <c r="G200" s="935">
        <v>0</v>
      </c>
      <c r="H200" s="935">
        <v>0</v>
      </c>
      <c r="I200" s="935">
        <v>0</v>
      </c>
      <c r="J200" s="935">
        <v>0</v>
      </c>
      <c r="K200" s="935">
        <v>0</v>
      </c>
      <c r="L200" s="935">
        <v>0</v>
      </c>
      <c r="M200" s="935">
        <v>0</v>
      </c>
      <c r="N200" s="935">
        <v>0</v>
      </c>
      <c r="O200" s="935">
        <v>0</v>
      </c>
      <c r="P200" s="935">
        <v>0</v>
      </c>
      <c r="Q200" s="935">
        <v>0</v>
      </c>
      <c r="R200" s="935">
        <v>0</v>
      </c>
      <c r="S200" s="935">
        <v>0</v>
      </c>
      <c r="T200" s="935">
        <v>0</v>
      </c>
      <c r="U200" s="935">
        <f t="shared" si="21"/>
        <v>0</v>
      </c>
    </row>
    <row r="201" spans="2:21" hidden="1" x14ac:dyDescent="0.2">
      <c r="B201" s="3" t="s">
        <v>239</v>
      </c>
      <c r="C201" s="935">
        <v>0</v>
      </c>
      <c r="D201" s="935">
        <v>0</v>
      </c>
      <c r="E201" s="935">
        <v>0</v>
      </c>
      <c r="F201" s="935">
        <v>0</v>
      </c>
      <c r="G201" s="935">
        <v>0</v>
      </c>
      <c r="H201" s="935">
        <v>0</v>
      </c>
      <c r="I201" s="935">
        <v>0</v>
      </c>
      <c r="J201" s="935">
        <v>0</v>
      </c>
      <c r="K201" s="935">
        <v>0</v>
      </c>
      <c r="L201" s="935">
        <v>0</v>
      </c>
      <c r="M201" s="935">
        <v>0</v>
      </c>
      <c r="N201" s="935">
        <v>0</v>
      </c>
      <c r="O201" s="935">
        <v>0</v>
      </c>
      <c r="P201" s="935">
        <v>0</v>
      </c>
      <c r="Q201" s="935">
        <v>0</v>
      </c>
      <c r="R201" s="935">
        <v>0</v>
      </c>
      <c r="S201" s="935">
        <v>0</v>
      </c>
      <c r="T201" s="935">
        <v>0</v>
      </c>
      <c r="U201" s="935">
        <f t="shared" si="21"/>
        <v>0</v>
      </c>
    </row>
    <row r="202" spans="2:21" hidden="1" x14ac:dyDescent="0.2">
      <c r="B202" s="3" t="s">
        <v>240</v>
      </c>
      <c r="C202" s="935">
        <v>0</v>
      </c>
      <c r="D202" s="935">
        <v>0</v>
      </c>
      <c r="E202" s="935">
        <v>0</v>
      </c>
      <c r="F202" s="935">
        <v>0</v>
      </c>
      <c r="G202" s="935">
        <v>0</v>
      </c>
      <c r="H202" s="935">
        <v>0</v>
      </c>
      <c r="I202" s="935">
        <v>0</v>
      </c>
      <c r="J202" s="935">
        <v>0</v>
      </c>
      <c r="K202" s="935">
        <v>0</v>
      </c>
      <c r="L202" s="935">
        <v>0</v>
      </c>
      <c r="M202" s="935">
        <v>0</v>
      </c>
      <c r="N202" s="935">
        <v>0</v>
      </c>
      <c r="O202" s="935">
        <v>0</v>
      </c>
      <c r="P202" s="935">
        <v>0</v>
      </c>
      <c r="Q202" s="935">
        <v>0</v>
      </c>
      <c r="R202" s="935">
        <v>0</v>
      </c>
      <c r="S202" s="935">
        <v>0</v>
      </c>
      <c r="T202" s="935">
        <v>0</v>
      </c>
      <c r="U202" s="935">
        <f t="shared" si="21"/>
        <v>0</v>
      </c>
    </row>
    <row r="203" spans="2:21" hidden="1" x14ac:dyDescent="0.2">
      <c r="B203" s="3" t="s">
        <v>241</v>
      </c>
      <c r="C203" s="935">
        <v>0</v>
      </c>
      <c r="D203" s="935">
        <v>0</v>
      </c>
      <c r="E203" s="935">
        <v>0</v>
      </c>
      <c r="F203" s="935">
        <v>0</v>
      </c>
      <c r="G203" s="935">
        <v>0</v>
      </c>
      <c r="H203" s="935">
        <v>0</v>
      </c>
      <c r="I203" s="935">
        <v>0</v>
      </c>
      <c r="J203" s="935">
        <v>0</v>
      </c>
      <c r="K203" s="935">
        <v>0</v>
      </c>
      <c r="L203" s="935">
        <v>0</v>
      </c>
      <c r="M203" s="935">
        <v>0</v>
      </c>
      <c r="N203" s="935">
        <v>0</v>
      </c>
      <c r="O203" s="935">
        <v>0</v>
      </c>
      <c r="P203" s="935">
        <v>0</v>
      </c>
      <c r="Q203" s="935">
        <v>0</v>
      </c>
      <c r="R203" s="935">
        <v>0</v>
      </c>
      <c r="S203" s="935">
        <v>0</v>
      </c>
      <c r="T203" s="935">
        <v>0</v>
      </c>
      <c r="U203" s="935">
        <f t="shared" si="21"/>
        <v>0</v>
      </c>
    </row>
    <row r="204" spans="2:21" x14ac:dyDescent="0.2">
      <c r="B204" s="3" t="s">
        <v>242</v>
      </c>
      <c r="C204" s="935">
        <v>0</v>
      </c>
      <c r="D204" s="935">
        <v>0</v>
      </c>
      <c r="E204" s="935">
        <v>0</v>
      </c>
      <c r="F204" s="935">
        <v>0</v>
      </c>
      <c r="G204" s="935">
        <v>0</v>
      </c>
      <c r="H204" s="935">
        <v>0</v>
      </c>
      <c r="I204" s="935">
        <v>0</v>
      </c>
      <c r="J204" s="935">
        <v>0</v>
      </c>
      <c r="K204" s="935">
        <v>0</v>
      </c>
      <c r="L204" s="935">
        <v>0</v>
      </c>
      <c r="M204" s="935">
        <v>0</v>
      </c>
      <c r="N204" s="935">
        <v>0</v>
      </c>
      <c r="O204" s="935">
        <v>0</v>
      </c>
      <c r="P204" s="935">
        <v>0</v>
      </c>
      <c r="Q204" s="935">
        <v>0</v>
      </c>
      <c r="R204" s="935">
        <v>0</v>
      </c>
      <c r="S204" s="935">
        <v>0</v>
      </c>
      <c r="T204" s="935">
        <v>-21442</v>
      </c>
      <c r="U204" s="935">
        <f t="shared" si="21"/>
        <v>-21442</v>
      </c>
    </row>
    <row r="205" spans="2:21" hidden="1" x14ac:dyDescent="0.2">
      <c r="B205" s="3" t="s">
        <v>243</v>
      </c>
      <c r="C205" s="933">
        <v>0</v>
      </c>
      <c r="D205" s="933">
        <v>0</v>
      </c>
      <c r="E205" s="933">
        <v>0</v>
      </c>
      <c r="F205" s="933">
        <v>0</v>
      </c>
      <c r="G205" s="933">
        <v>0</v>
      </c>
      <c r="H205" s="933">
        <v>0</v>
      </c>
      <c r="I205" s="933">
        <v>0</v>
      </c>
      <c r="J205" s="933">
        <v>0</v>
      </c>
      <c r="K205" s="933">
        <v>0</v>
      </c>
      <c r="L205" s="933">
        <v>0</v>
      </c>
      <c r="M205" s="933">
        <v>0</v>
      </c>
      <c r="N205" s="933">
        <v>0</v>
      </c>
      <c r="O205" s="933">
        <v>0</v>
      </c>
      <c r="P205" s="933">
        <v>0</v>
      </c>
      <c r="Q205" s="933">
        <v>0</v>
      </c>
      <c r="R205" s="933">
        <v>0</v>
      </c>
      <c r="S205" s="933">
        <v>0</v>
      </c>
      <c r="T205" s="933">
        <v>0</v>
      </c>
      <c r="U205" s="933">
        <f t="shared" si="21"/>
        <v>0</v>
      </c>
    </row>
    <row r="206" spans="2:21" hidden="1" x14ac:dyDescent="0.2">
      <c r="B206" s="3" t="s">
        <v>244</v>
      </c>
      <c r="C206" s="933">
        <v>0</v>
      </c>
      <c r="D206" s="933">
        <v>0</v>
      </c>
      <c r="E206" s="933">
        <v>0</v>
      </c>
      <c r="F206" s="933">
        <v>0</v>
      </c>
      <c r="G206" s="933">
        <v>0</v>
      </c>
      <c r="H206" s="933">
        <v>0</v>
      </c>
      <c r="I206" s="933">
        <v>0</v>
      </c>
      <c r="J206" s="933">
        <v>0</v>
      </c>
      <c r="K206" s="933">
        <v>0</v>
      </c>
      <c r="L206" s="933">
        <v>0</v>
      </c>
      <c r="M206" s="933">
        <v>0</v>
      </c>
      <c r="N206" s="933">
        <v>0</v>
      </c>
      <c r="O206" s="933">
        <v>0</v>
      </c>
      <c r="P206" s="933">
        <v>0</v>
      </c>
      <c r="Q206" s="933">
        <v>0</v>
      </c>
      <c r="R206" s="933">
        <v>0</v>
      </c>
      <c r="S206" s="933">
        <v>0</v>
      </c>
      <c r="T206" s="933">
        <v>0</v>
      </c>
      <c r="U206" s="933">
        <f t="shared" si="21"/>
        <v>0</v>
      </c>
    </row>
    <row r="207" spans="2:21" hidden="1" x14ac:dyDescent="0.2">
      <c r="B207" s="2" t="s">
        <v>245</v>
      </c>
      <c r="U207" s="933"/>
    </row>
    <row r="208" spans="2:21" hidden="1" x14ac:dyDescent="0.2">
      <c r="B208" s="3" t="s">
        <v>246</v>
      </c>
      <c r="C208" s="933">
        <v>0</v>
      </c>
      <c r="D208" s="933">
        <v>0</v>
      </c>
      <c r="E208" s="933">
        <v>0</v>
      </c>
      <c r="F208" s="933">
        <v>0</v>
      </c>
      <c r="G208" s="933">
        <v>0</v>
      </c>
      <c r="H208" s="933">
        <v>0</v>
      </c>
      <c r="I208" s="933">
        <v>0</v>
      </c>
      <c r="J208" s="933">
        <v>0</v>
      </c>
      <c r="K208" s="933">
        <v>0</v>
      </c>
      <c r="L208" s="933">
        <v>0</v>
      </c>
      <c r="M208" s="933">
        <v>0</v>
      </c>
      <c r="N208" s="933">
        <v>0</v>
      </c>
      <c r="O208" s="933">
        <v>0</v>
      </c>
      <c r="P208" s="933">
        <v>0</v>
      </c>
      <c r="Q208" s="933">
        <v>0</v>
      </c>
      <c r="R208" s="933">
        <v>0</v>
      </c>
      <c r="S208" s="933">
        <v>0</v>
      </c>
      <c r="T208" s="933">
        <v>0</v>
      </c>
      <c r="U208" s="933">
        <f t="shared" si="21"/>
        <v>0</v>
      </c>
    </row>
    <row r="209" spans="2:21" hidden="1" x14ac:dyDescent="0.2">
      <c r="B209" s="3" t="s">
        <v>247</v>
      </c>
      <c r="C209" s="933">
        <v>0</v>
      </c>
      <c r="D209" s="933">
        <v>0</v>
      </c>
      <c r="E209" s="933">
        <v>0</v>
      </c>
      <c r="F209" s="933">
        <v>0</v>
      </c>
      <c r="G209" s="933">
        <v>0</v>
      </c>
      <c r="H209" s="933">
        <v>0</v>
      </c>
      <c r="I209" s="933">
        <v>0</v>
      </c>
      <c r="J209" s="933">
        <v>0</v>
      </c>
      <c r="K209" s="933">
        <v>0</v>
      </c>
      <c r="L209" s="933">
        <v>0</v>
      </c>
      <c r="M209" s="933">
        <v>0</v>
      </c>
      <c r="N209" s="933">
        <v>0</v>
      </c>
      <c r="O209" s="933">
        <v>0</v>
      </c>
      <c r="P209" s="933">
        <v>0</v>
      </c>
      <c r="Q209" s="933">
        <v>0</v>
      </c>
      <c r="R209" s="933">
        <v>0</v>
      </c>
      <c r="S209" s="933">
        <v>0</v>
      </c>
      <c r="T209" s="933">
        <v>0</v>
      </c>
      <c r="U209" s="933">
        <f t="shared" si="21"/>
        <v>0</v>
      </c>
    </row>
    <row r="210" spans="2:21" hidden="1" x14ac:dyDescent="0.2">
      <c r="B210" s="3" t="s">
        <v>248</v>
      </c>
      <c r="C210" s="933">
        <v>0</v>
      </c>
      <c r="D210" s="933">
        <v>0</v>
      </c>
      <c r="E210" s="933">
        <v>0</v>
      </c>
      <c r="F210" s="933">
        <v>0</v>
      </c>
      <c r="G210" s="933">
        <v>0</v>
      </c>
      <c r="H210" s="933">
        <v>0</v>
      </c>
      <c r="I210" s="933">
        <v>0</v>
      </c>
      <c r="J210" s="933">
        <v>0</v>
      </c>
      <c r="K210" s="933">
        <v>0</v>
      </c>
      <c r="L210" s="933">
        <v>0</v>
      </c>
      <c r="M210" s="933">
        <v>0</v>
      </c>
      <c r="N210" s="933">
        <v>0</v>
      </c>
      <c r="O210" s="933">
        <v>0</v>
      </c>
      <c r="P210" s="933">
        <v>0</v>
      </c>
      <c r="Q210" s="933">
        <v>0</v>
      </c>
      <c r="R210" s="933">
        <v>0</v>
      </c>
      <c r="S210" s="933">
        <v>0</v>
      </c>
      <c r="T210" s="933">
        <v>0</v>
      </c>
      <c r="U210" s="933">
        <f t="shared" si="21"/>
        <v>0</v>
      </c>
    </row>
    <row r="211" spans="2:21" hidden="1" x14ac:dyDescent="0.2">
      <c r="B211" s="3" t="s">
        <v>249</v>
      </c>
      <c r="C211" s="933">
        <v>0</v>
      </c>
      <c r="D211" s="933">
        <v>0</v>
      </c>
      <c r="E211" s="933">
        <v>0</v>
      </c>
      <c r="F211" s="933">
        <v>0</v>
      </c>
      <c r="G211" s="933">
        <v>0</v>
      </c>
      <c r="H211" s="933">
        <v>0</v>
      </c>
      <c r="I211" s="933">
        <v>0</v>
      </c>
      <c r="J211" s="933">
        <v>0</v>
      </c>
      <c r="K211" s="933">
        <v>0</v>
      </c>
      <c r="L211" s="933">
        <v>0</v>
      </c>
      <c r="M211" s="933">
        <v>0</v>
      </c>
      <c r="N211" s="933">
        <v>0</v>
      </c>
      <c r="O211" s="933">
        <v>0</v>
      </c>
      <c r="P211" s="933">
        <v>0</v>
      </c>
      <c r="Q211" s="933">
        <v>0</v>
      </c>
      <c r="R211" s="933">
        <v>0</v>
      </c>
      <c r="S211" s="933">
        <v>0</v>
      </c>
      <c r="T211" s="933">
        <v>0</v>
      </c>
      <c r="U211" s="933">
        <f t="shared" si="21"/>
        <v>0</v>
      </c>
    </row>
    <row r="212" spans="2:21" hidden="1" x14ac:dyDescent="0.2">
      <c r="B212" s="3" t="s">
        <v>250</v>
      </c>
      <c r="C212" s="933">
        <v>0</v>
      </c>
      <c r="D212" s="933">
        <v>0</v>
      </c>
      <c r="E212" s="933">
        <v>0</v>
      </c>
      <c r="F212" s="933">
        <v>0</v>
      </c>
      <c r="G212" s="933">
        <v>0</v>
      </c>
      <c r="H212" s="933">
        <v>0</v>
      </c>
      <c r="I212" s="933">
        <v>0</v>
      </c>
      <c r="J212" s="933">
        <v>0</v>
      </c>
      <c r="K212" s="933">
        <v>0</v>
      </c>
      <c r="L212" s="933">
        <v>0</v>
      </c>
      <c r="M212" s="933">
        <v>0</v>
      </c>
      <c r="N212" s="933">
        <v>0</v>
      </c>
      <c r="O212" s="933">
        <v>0</v>
      </c>
      <c r="P212" s="933">
        <v>0</v>
      </c>
      <c r="Q212" s="933">
        <v>0</v>
      </c>
      <c r="R212" s="933">
        <v>0</v>
      </c>
      <c r="S212" s="933">
        <v>0</v>
      </c>
      <c r="T212" s="933">
        <v>0</v>
      </c>
      <c r="U212" s="933">
        <f t="shared" si="21"/>
        <v>0</v>
      </c>
    </row>
    <row r="213" spans="2:21" hidden="1" x14ac:dyDescent="0.2">
      <c r="B213" s="3" t="s">
        <v>251</v>
      </c>
      <c r="C213" s="933">
        <v>0</v>
      </c>
      <c r="D213" s="933">
        <v>0</v>
      </c>
      <c r="E213" s="933">
        <v>0</v>
      </c>
      <c r="F213" s="933">
        <v>0</v>
      </c>
      <c r="G213" s="933">
        <v>0</v>
      </c>
      <c r="H213" s="933">
        <v>0</v>
      </c>
      <c r="I213" s="933">
        <v>0</v>
      </c>
      <c r="J213" s="933">
        <v>0</v>
      </c>
      <c r="K213" s="933">
        <v>0</v>
      </c>
      <c r="L213" s="933">
        <v>0</v>
      </c>
      <c r="M213" s="933">
        <v>0</v>
      </c>
      <c r="N213" s="933">
        <v>0</v>
      </c>
      <c r="O213" s="933">
        <v>0</v>
      </c>
      <c r="P213" s="933">
        <v>0</v>
      </c>
      <c r="Q213" s="933">
        <v>0</v>
      </c>
      <c r="R213" s="933">
        <v>0</v>
      </c>
      <c r="S213" s="933">
        <v>0</v>
      </c>
      <c r="T213" s="933">
        <v>0</v>
      </c>
      <c r="U213" s="933">
        <f t="shared" si="21"/>
        <v>0</v>
      </c>
    </row>
    <row r="214" spans="2:21" hidden="1" x14ac:dyDescent="0.2">
      <c r="B214" s="3" t="s">
        <v>252</v>
      </c>
      <c r="C214" s="933">
        <v>0</v>
      </c>
      <c r="D214" s="933">
        <v>0</v>
      </c>
      <c r="E214" s="933">
        <v>0</v>
      </c>
      <c r="F214" s="933">
        <v>0</v>
      </c>
      <c r="G214" s="933">
        <v>0</v>
      </c>
      <c r="H214" s="933">
        <v>0</v>
      </c>
      <c r="I214" s="933">
        <v>0</v>
      </c>
      <c r="J214" s="933">
        <v>0</v>
      </c>
      <c r="K214" s="933">
        <v>0</v>
      </c>
      <c r="L214" s="933">
        <v>0</v>
      </c>
      <c r="M214" s="933">
        <v>0</v>
      </c>
      <c r="N214" s="933">
        <v>0</v>
      </c>
      <c r="O214" s="933">
        <v>0</v>
      </c>
      <c r="P214" s="933">
        <v>0</v>
      </c>
      <c r="Q214" s="933">
        <v>0</v>
      </c>
      <c r="R214" s="933">
        <v>0</v>
      </c>
      <c r="S214" s="933">
        <v>0</v>
      </c>
      <c r="T214" s="933">
        <v>0</v>
      </c>
      <c r="U214" s="933">
        <f t="shared" ref="U214:U222" si="22">SUM(C214:T214)</f>
        <v>0</v>
      </c>
    </row>
    <row r="215" spans="2:21" hidden="1" x14ac:dyDescent="0.2">
      <c r="B215" s="3" t="s">
        <v>253</v>
      </c>
      <c r="C215" s="933">
        <v>0</v>
      </c>
      <c r="D215" s="933">
        <v>0</v>
      </c>
      <c r="E215" s="933">
        <v>0</v>
      </c>
      <c r="F215" s="933">
        <v>0</v>
      </c>
      <c r="G215" s="933">
        <v>0</v>
      </c>
      <c r="H215" s="933">
        <v>0</v>
      </c>
      <c r="I215" s="933">
        <v>0</v>
      </c>
      <c r="J215" s="933">
        <v>0</v>
      </c>
      <c r="K215" s="933">
        <v>0</v>
      </c>
      <c r="L215" s="933">
        <v>0</v>
      </c>
      <c r="M215" s="933">
        <v>0</v>
      </c>
      <c r="N215" s="933">
        <v>0</v>
      </c>
      <c r="O215" s="933">
        <v>0</v>
      </c>
      <c r="P215" s="933">
        <v>0</v>
      </c>
      <c r="Q215" s="933">
        <v>0</v>
      </c>
      <c r="R215" s="933">
        <v>0</v>
      </c>
      <c r="S215" s="933">
        <v>0</v>
      </c>
      <c r="T215" s="933">
        <v>0</v>
      </c>
      <c r="U215" s="933">
        <f t="shared" si="22"/>
        <v>0</v>
      </c>
    </row>
    <row r="216" spans="2:21" hidden="1" x14ac:dyDescent="0.2">
      <c r="B216" s="3" t="s">
        <v>254</v>
      </c>
      <c r="C216" s="933">
        <v>0</v>
      </c>
      <c r="D216" s="933">
        <v>0</v>
      </c>
      <c r="E216" s="933">
        <v>0</v>
      </c>
      <c r="F216" s="933">
        <v>0</v>
      </c>
      <c r="G216" s="933">
        <v>0</v>
      </c>
      <c r="H216" s="933">
        <v>0</v>
      </c>
      <c r="I216" s="933">
        <v>0</v>
      </c>
      <c r="J216" s="933">
        <v>0</v>
      </c>
      <c r="K216" s="933">
        <v>0</v>
      </c>
      <c r="L216" s="933">
        <v>0</v>
      </c>
      <c r="M216" s="933">
        <v>0</v>
      </c>
      <c r="N216" s="933">
        <v>0</v>
      </c>
      <c r="O216" s="933">
        <v>0</v>
      </c>
      <c r="P216" s="933">
        <v>0</v>
      </c>
      <c r="Q216" s="933">
        <v>0</v>
      </c>
      <c r="R216" s="933">
        <v>0</v>
      </c>
      <c r="S216" s="933">
        <v>0</v>
      </c>
      <c r="T216" s="933">
        <v>0</v>
      </c>
      <c r="U216" s="933">
        <f t="shared" si="22"/>
        <v>0</v>
      </c>
    </row>
    <row r="217" spans="2:21" hidden="1" x14ac:dyDescent="0.2">
      <c r="B217" s="3" t="s">
        <v>255</v>
      </c>
      <c r="C217" s="933">
        <v>0</v>
      </c>
      <c r="D217" s="933">
        <v>0</v>
      </c>
      <c r="E217" s="933">
        <v>0</v>
      </c>
      <c r="F217" s="933">
        <v>0</v>
      </c>
      <c r="G217" s="933">
        <v>0</v>
      </c>
      <c r="H217" s="933">
        <v>0</v>
      </c>
      <c r="I217" s="933">
        <v>0</v>
      </c>
      <c r="J217" s="933">
        <v>0</v>
      </c>
      <c r="K217" s="933">
        <v>0</v>
      </c>
      <c r="L217" s="933">
        <v>0</v>
      </c>
      <c r="M217" s="933">
        <v>0</v>
      </c>
      <c r="N217" s="933">
        <v>0</v>
      </c>
      <c r="O217" s="933">
        <v>0</v>
      </c>
      <c r="P217" s="933">
        <v>0</v>
      </c>
      <c r="Q217" s="933">
        <v>0</v>
      </c>
      <c r="R217" s="933">
        <v>0</v>
      </c>
      <c r="S217" s="933">
        <v>0</v>
      </c>
      <c r="T217" s="933">
        <v>0</v>
      </c>
      <c r="U217" s="933">
        <f t="shared" si="22"/>
        <v>0</v>
      </c>
    </row>
    <row r="218" spans="2:21" hidden="1" x14ac:dyDescent="0.2">
      <c r="B218" s="3" t="s">
        <v>256</v>
      </c>
      <c r="C218" s="933">
        <v>0</v>
      </c>
      <c r="D218" s="933">
        <v>0</v>
      </c>
      <c r="E218" s="933">
        <v>0</v>
      </c>
      <c r="F218" s="933">
        <v>0</v>
      </c>
      <c r="G218" s="933">
        <v>0</v>
      </c>
      <c r="H218" s="933">
        <v>0</v>
      </c>
      <c r="I218" s="933">
        <v>0</v>
      </c>
      <c r="J218" s="933">
        <v>0</v>
      </c>
      <c r="K218" s="933">
        <v>0</v>
      </c>
      <c r="L218" s="933">
        <v>0</v>
      </c>
      <c r="M218" s="933">
        <v>0</v>
      </c>
      <c r="N218" s="933">
        <v>0</v>
      </c>
      <c r="O218" s="933">
        <v>0</v>
      </c>
      <c r="P218" s="933">
        <v>0</v>
      </c>
      <c r="Q218" s="933">
        <v>0</v>
      </c>
      <c r="R218" s="933">
        <v>0</v>
      </c>
      <c r="S218" s="933">
        <v>0</v>
      </c>
      <c r="T218" s="933">
        <v>0</v>
      </c>
      <c r="U218" s="933">
        <f t="shared" si="22"/>
        <v>0</v>
      </c>
    </row>
    <row r="219" spans="2:21" hidden="1" x14ac:dyDescent="0.2">
      <c r="B219" s="3" t="s">
        <v>257</v>
      </c>
      <c r="C219" s="933">
        <v>0</v>
      </c>
      <c r="D219" s="933">
        <v>0</v>
      </c>
      <c r="E219" s="933">
        <v>0</v>
      </c>
      <c r="F219" s="933">
        <v>0</v>
      </c>
      <c r="G219" s="933">
        <v>0</v>
      </c>
      <c r="H219" s="933">
        <v>0</v>
      </c>
      <c r="I219" s="933">
        <v>0</v>
      </c>
      <c r="J219" s="933">
        <v>0</v>
      </c>
      <c r="K219" s="933">
        <v>0</v>
      </c>
      <c r="L219" s="933">
        <v>0</v>
      </c>
      <c r="M219" s="933">
        <v>0</v>
      </c>
      <c r="N219" s="933">
        <v>0</v>
      </c>
      <c r="O219" s="933">
        <v>0</v>
      </c>
      <c r="P219" s="933">
        <v>0</v>
      </c>
      <c r="Q219" s="933">
        <v>0</v>
      </c>
      <c r="R219" s="933">
        <v>0</v>
      </c>
      <c r="S219" s="933">
        <v>0</v>
      </c>
      <c r="T219" s="933">
        <v>0</v>
      </c>
      <c r="U219" s="933">
        <f t="shared" si="22"/>
        <v>0</v>
      </c>
    </row>
    <row r="220" spans="2:21" hidden="1" x14ac:dyDescent="0.2">
      <c r="B220" s="3" t="s">
        <v>258</v>
      </c>
      <c r="C220" s="933">
        <v>0</v>
      </c>
      <c r="D220" s="933">
        <v>0</v>
      </c>
      <c r="E220" s="933">
        <v>0</v>
      </c>
      <c r="F220" s="933">
        <v>0</v>
      </c>
      <c r="G220" s="933">
        <v>0</v>
      </c>
      <c r="H220" s="933">
        <v>0</v>
      </c>
      <c r="I220" s="933">
        <v>0</v>
      </c>
      <c r="J220" s="933">
        <v>0</v>
      </c>
      <c r="K220" s="933">
        <v>0</v>
      </c>
      <c r="L220" s="933">
        <v>0</v>
      </c>
      <c r="M220" s="933">
        <v>0</v>
      </c>
      <c r="N220" s="933">
        <v>0</v>
      </c>
      <c r="O220" s="933">
        <v>0</v>
      </c>
      <c r="P220" s="933">
        <v>0</v>
      </c>
      <c r="Q220" s="933">
        <v>0</v>
      </c>
      <c r="R220" s="933">
        <v>0</v>
      </c>
      <c r="S220" s="933">
        <v>0</v>
      </c>
      <c r="T220" s="933">
        <v>0</v>
      </c>
      <c r="U220" s="933">
        <f t="shared" si="22"/>
        <v>0</v>
      </c>
    </row>
    <row r="221" spans="2:21" hidden="1" x14ac:dyDescent="0.2">
      <c r="B221" s="3" t="s">
        <v>259</v>
      </c>
      <c r="C221" s="933">
        <v>0</v>
      </c>
      <c r="D221" s="933">
        <v>0</v>
      </c>
      <c r="E221" s="933">
        <v>0</v>
      </c>
      <c r="F221" s="933">
        <v>0</v>
      </c>
      <c r="G221" s="933">
        <v>0</v>
      </c>
      <c r="H221" s="933">
        <v>0</v>
      </c>
      <c r="I221" s="933">
        <v>0</v>
      </c>
      <c r="J221" s="933">
        <v>0</v>
      </c>
      <c r="K221" s="933">
        <v>0</v>
      </c>
      <c r="L221" s="933">
        <v>0</v>
      </c>
      <c r="M221" s="933">
        <v>0</v>
      </c>
      <c r="N221" s="933">
        <v>0</v>
      </c>
      <c r="O221" s="933">
        <v>0</v>
      </c>
      <c r="P221" s="933">
        <v>0</v>
      </c>
      <c r="Q221" s="933">
        <v>0</v>
      </c>
      <c r="R221" s="933">
        <v>0</v>
      </c>
      <c r="S221" s="933">
        <v>0</v>
      </c>
      <c r="T221" s="933">
        <v>0</v>
      </c>
      <c r="U221" s="933">
        <f t="shared" si="22"/>
        <v>0</v>
      </c>
    </row>
    <row r="222" spans="2:21" hidden="1" x14ac:dyDescent="0.2">
      <c r="B222" s="3" t="s">
        <v>260</v>
      </c>
      <c r="C222" s="933">
        <v>0</v>
      </c>
      <c r="D222" s="933">
        <v>0</v>
      </c>
      <c r="E222" s="933">
        <v>0</v>
      </c>
      <c r="F222" s="933">
        <v>0</v>
      </c>
      <c r="G222" s="933">
        <v>0</v>
      </c>
      <c r="H222" s="933">
        <v>0</v>
      </c>
      <c r="I222" s="933">
        <v>0</v>
      </c>
      <c r="J222" s="933">
        <v>0</v>
      </c>
      <c r="K222" s="933">
        <v>0</v>
      </c>
      <c r="L222" s="933">
        <v>0</v>
      </c>
      <c r="M222" s="933">
        <v>0</v>
      </c>
      <c r="N222" s="933">
        <v>0</v>
      </c>
      <c r="O222" s="933">
        <v>0</v>
      </c>
      <c r="P222" s="933">
        <v>0</v>
      </c>
      <c r="Q222" s="933">
        <v>0</v>
      </c>
      <c r="R222" s="933">
        <v>0</v>
      </c>
      <c r="S222" s="933">
        <v>0</v>
      </c>
      <c r="T222" s="933">
        <v>0</v>
      </c>
      <c r="U222" s="933">
        <f t="shared" si="22"/>
        <v>0</v>
      </c>
    </row>
    <row r="223" spans="2:21" x14ac:dyDescent="0.2">
      <c r="U223" s="933"/>
    </row>
  </sheetData>
  <pageMargins left="0.7" right="0.7" top="0.75" bottom="0.75" header="0.3" footer="0.3"/>
  <pageSetup scale="50" orientation="portrait" r:id="rId1"/>
  <colBreaks count="1" manualBreakCount="1">
    <brk id="11" max="203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62CE6-F9D6-430D-B8DE-47D371A5DAA4}">
  <sheetPr>
    <tabColor rgb="FFFF0000"/>
  </sheetPr>
  <dimension ref="A1:I85"/>
  <sheetViews>
    <sheetView showGridLines="0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4.25" x14ac:dyDescent="0.2"/>
  <cols>
    <col min="1" max="1" width="5.85546875" style="62" customWidth="1"/>
    <col min="2" max="2" width="8.28515625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9.28515625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664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665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>
        <v>0</v>
      </c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0</v>
      </c>
      <c r="I8" s="92"/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>
        <v>0</v>
      </c>
      <c r="I9" s="92"/>
    </row>
    <row r="10" spans="1:9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>
        <v>0</v>
      </c>
      <c r="I10" s="92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91">
        <v>0</v>
      </c>
      <c r="I11" s="92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0</v>
      </c>
      <c r="G12" s="90">
        <v>0</v>
      </c>
      <c r="H12" s="91">
        <v>0</v>
      </c>
      <c r="I12" s="92"/>
    </row>
    <row r="13" spans="1:9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0</v>
      </c>
      <c r="G13" s="90">
        <v>0</v>
      </c>
      <c r="H13" s="91">
        <v>0</v>
      </c>
      <c r="I13" s="92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>
        <v>0</v>
      </c>
      <c r="I14" s="92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91">
        <v>0</v>
      </c>
      <c r="I15" s="92"/>
    </row>
    <row r="16" spans="1:9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2500</v>
      </c>
      <c r="G16" s="90">
        <v>0</v>
      </c>
      <c r="H16" s="91"/>
      <c r="I16" s="92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/>
      <c r="G17" s="90">
        <v>0</v>
      </c>
      <c r="H17" s="91">
        <v>0</v>
      </c>
      <c r="I17" s="92"/>
    </row>
    <row r="18" spans="1:9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/>
      <c r="G18" s="90">
        <v>0</v>
      </c>
      <c r="H18" s="91">
        <v>20000</v>
      </c>
      <c r="I18" s="92"/>
    </row>
    <row r="19" spans="1:9" hidden="1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/>
      <c r="G19" s="90">
        <v>0</v>
      </c>
      <c r="H19" s="91">
        <v>0</v>
      </c>
      <c r="I19" s="92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/>
      <c r="G20" s="90">
        <v>0</v>
      </c>
      <c r="H20" s="91">
        <v>296076</v>
      </c>
      <c r="I20" s="92"/>
    </row>
    <row r="21" spans="1:9" hidden="1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/>
      <c r="G21" s="90">
        <v>0</v>
      </c>
      <c r="H21" s="91">
        <v>0</v>
      </c>
      <c r="I21" s="92"/>
    </row>
    <row r="22" spans="1:9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85000</v>
      </c>
      <c r="G22" s="90">
        <v>0</v>
      </c>
      <c r="H22" s="91">
        <v>0</v>
      </c>
      <c r="I22" s="92"/>
    </row>
    <row r="23" spans="1:9" hidden="1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/>
      <c r="G23" s="90">
        <v>0</v>
      </c>
      <c r="H23" s="91">
        <v>0</v>
      </c>
      <c r="I23" s="92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/>
      <c r="G24" s="90">
        <v>0</v>
      </c>
      <c r="H24" s="91">
        <v>0</v>
      </c>
      <c r="I24" s="92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/>
      <c r="G25" s="90">
        <v>0</v>
      </c>
      <c r="H25" s="91">
        <v>0</v>
      </c>
      <c r="I25" s="92"/>
    </row>
    <row r="26" spans="1:9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/>
      <c r="G26" s="90">
        <v>0</v>
      </c>
      <c r="H26" s="91">
        <v>2735</v>
      </c>
      <c r="I26" s="92"/>
    </row>
    <row r="27" spans="1:9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/>
      <c r="G27" s="90">
        <v>0</v>
      </c>
      <c r="H27" s="91">
        <v>1735</v>
      </c>
      <c r="I27" s="92"/>
    </row>
    <row r="28" spans="1:9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/>
      <c r="G28" s="90">
        <v>0</v>
      </c>
      <c r="H28" s="91">
        <v>1320400</v>
      </c>
      <c r="I28" s="92"/>
    </row>
    <row r="29" spans="1:9" hidden="1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/>
      <c r="G29" s="90">
        <v>0</v>
      </c>
      <c r="H29" s="91">
        <v>0</v>
      </c>
      <c r="I29" s="92"/>
    </row>
    <row r="30" spans="1:9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/>
      <c r="G30" s="90">
        <v>0</v>
      </c>
      <c r="H30" s="91">
        <v>670541.81000000006</v>
      </c>
      <c r="I30" s="92"/>
    </row>
    <row r="31" spans="1:9" hidden="1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/>
      <c r="G31" s="90">
        <v>0</v>
      </c>
      <c r="H31" s="91">
        <v>0</v>
      </c>
      <c r="I31" s="92"/>
    </row>
    <row r="32" spans="1:9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/>
      <c r="G32" s="90">
        <v>0</v>
      </c>
      <c r="H32" s="91">
        <v>3010</v>
      </c>
      <c r="I32" s="92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87500</v>
      </c>
      <c r="G33" s="104">
        <f>SUM(G6:G32)</f>
        <v>0</v>
      </c>
      <c r="H33" s="106">
        <f>SUM(H6:H32)</f>
        <v>2314497.81</v>
      </c>
      <c r="I33" s="107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112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>
        <v>0</v>
      </c>
      <c r="G35" s="90">
        <v>0</v>
      </c>
      <c r="H35" s="91">
        <v>0</v>
      </c>
      <c r="I35" s="92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9528349.7283578068</v>
      </c>
      <c r="G36" s="90">
        <v>0</v>
      </c>
      <c r="H36" s="91">
        <v>0</v>
      </c>
      <c r="I36" s="12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>
        <v>0</v>
      </c>
      <c r="G37" s="90">
        <v>0</v>
      </c>
      <c r="H37" s="91">
        <v>0</v>
      </c>
      <c r="I37" s="92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1283327.1211788028</v>
      </c>
      <c r="G38" s="90">
        <v>0</v>
      </c>
      <c r="H38" s="91">
        <v>0</v>
      </c>
      <c r="I38" s="12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119471.67132855217</v>
      </c>
      <c r="G39" s="90">
        <v>0</v>
      </c>
      <c r="H39" s="91">
        <v>0</v>
      </c>
      <c r="I39" s="92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143578.9700733714</v>
      </c>
      <c r="G40" s="90">
        <v>0</v>
      </c>
      <c r="H40" s="91">
        <v>0</v>
      </c>
      <c r="I40" s="92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>
        <v>0</v>
      </c>
      <c r="G41" s="90">
        <v>0</v>
      </c>
      <c r="H41" s="91">
        <v>0</v>
      </c>
      <c r="I41" s="92"/>
    </row>
    <row r="42" spans="1:9" s="130" customFormat="1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>
        <v>668302.74</v>
      </c>
      <c r="G42" s="306">
        <v>0</v>
      </c>
      <c r="H42" s="307">
        <v>420910.78</v>
      </c>
      <c r="I42" s="129"/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>
        <v>0</v>
      </c>
      <c r="G43" s="90">
        <v>0</v>
      </c>
      <c r="H43" s="91">
        <v>0</v>
      </c>
      <c r="I43" s="92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648158</v>
      </c>
      <c r="G44" s="90">
        <v>0</v>
      </c>
      <c r="H44" s="91">
        <v>0</v>
      </c>
      <c r="I44" s="92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>
        <v>0</v>
      </c>
      <c r="G45" s="90">
        <v>0</v>
      </c>
      <c r="H45" s="91">
        <v>60790</v>
      </c>
      <c r="I45" s="92"/>
    </row>
    <row r="46" spans="1:9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>
        <v>0</v>
      </c>
      <c r="G46" s="90">
        <v>0</v>
      </c>
      <c r="H46" s="91">
        <v>0</v>
      </c>
      <c r="I46" s="92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>
        <v>0</v>
      </c>
      <c r="G47" s="90">
        <v>0</v>
      </c>
      <c r="H47" s="91">
        <v>0</v>
      </c>
      <c r="I47" s="133"/>
    </row>
    <row r="48" spans="1:9" hidden="1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>
        <v>0</v>
      </c>
      <c r="G48" s="90">
        <v>0</v>
      </c>
      <c r="H48" s="91">
        <v>0</v>
      </c>
      <c r="I48" s="92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12391188.230938533</v>
      </c>
      <c r="G49" s="104">
        <f>SUM(G34:G48)</f>
        <v>0</v>
      </c>
      <c r="H49" s="106">
        <f>SUM(H34:H48)</f>
        <v>481700.78</v>
      </c>
      <c r="I49" s="107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112"/>
    </row>
    <row r="51" spans="1:9" hidden="1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0</v>
      </c>
      <c r="G51" s="143">
        <v>0</v>
      </c>
      <c r="H51" s="111">
        <v>0</v>
      </c>
      <c r="I51" s="92"/>
    </row>
    <row r="52" spans="1:9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>
        <v>0</v>
      </c>
      <c r="G52" s="143">
        <v>0</v>
      </c>
      <c r="H52" s="111">
        <v>25000</v>
      </c>
      <c r="I52" s="92"/>
    </row>
    <row r="53" spans="1:9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>
        <v>45035</v>
      </c>
      <c r="G53" s="143">
        <v>0</v>
      </c>
      <c r="H53" s="111"/>
      <c r="I53" s="92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v>536262.36</v>
      </c>
      <c r="G54" s="143">
        <v>0</v>
      </c>
      <c r="H54" s="111">
        <v>0</v>
      </c>
      <c r="I54" s="92"/>
    </row>
    <row r="55" spans="1:9" hidden="1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>
        <v>0</v>
      </c>
      <c r="G55" s="143">
        <v>0</v>
      </c>
      <c r="H55" s="111">
        <v>0</v>
      </c>
      <c r="I55" s="92"/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>
        <v>0</v>
      </c>
      <c r="G56" s="143">
        <v>0</v>
      </c>
      <c r="H56" s="111">
        <v>0</v>
      </c>
      <c r="I56" s="92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581297.36</v>
      </c>
      <c r="G57" s="104">
        <f t="shared" si="0"/>
        <v>0</v>
      </c>
      <c r="H57" s="106">
        <f t="shared" si="0"/>
        <v>25000</v>
      </c>
      <c r="I57" s="107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112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>
        <v>0</v>
      </c>
      <c r="G59" s="143">
        <v>0</v>
      </c>
      <c r="H59" s="111">
        <v>0</v>
      </c>
      <c r="I59" s="92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>
        <v>0</v>
      </c>
      <c r="G60" s="143">
        <v>0</v>
      </c>
      <c r="H60" s="111">
        <v>0</v>
      </c>
      <c r="I60" s="92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>
        <v>0</v>
      </c>
      <c r="G61" s="143">
        <v>0</v>
      </c>
      <c r="H61" s="111">
        <v>0</v>
      </c>
      <c r="I61" s="92"/>
    </row>
    <row r="62" spans="1:9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0</v>
      </c>
      <c r="G62" s="143">
        <v>0</v>
      </c>
      <c r="H62" s="111">
        <v>21442</v>
      </c>
      <c r="I62" s="92"/>
    </row>
    <row r="63" spans="1:9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>
        <v>0</v>
      </c>
      <c r="G63" s="143">
        <v>0</v>
      </c>
      <c r="H63" s="111">
        <v>2500</v>
      </c>
      <c r="I63" s="92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92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92"/>
    </row>
    <row r="66" spans="1:9" hidden="1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>
        <v>0</v>
      </c>
      <c r="G66" s="143">
        <v>0</v>
      </c>
      <c r="H66" s="111">
        <v>0</v>
      </c>
      <c r="I66" s="92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0</v>
      </c>
      <c r="G67" s="157">
        <f>SUM(G58:G66)</f>
        <v>0</v>
      </c>
      <c r="H67" s="159">
        <f>SUM(H58:H66)</f>
        <v>23942</v>
      </c>
      <c r="I67" s="92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92"/>
    </row>
    <row r="69" spans="1:9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6455380</v>
      </c>
      <c r="G69" s="143">
        <v>0</v>
      </c>
      <c r="H69" s="111">
        <v>0</v>
      </c>
      <c r="I69" s="92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11987406</v>
      </c>
      <c r="G70" s="143">
        <v>0</v>
      </c>
      <c r="H70" s="111">
        <v>0</v>
      </c>
      <c r="I70" s="92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18442786</v>
      </c>
      <c r="G71" s="157">
        <f t="shared" si="1"/>
        <v>0</v>
      </c>
      <c r="H71" s="159">
        <f>SUM(H69:H70)</f>
        <v>0</v>
      </c>
      <c r="I71" s="92"/>
    </row>
    <row r="72" spans="1:9" hidden="1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92"/>
    </row>
    <row r="73" spans="1:9" hidden="1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92"/>
    </row>
    <row r="74" spans="1:9" ht="15.75" thickBot="1" x14ac:dyDescent="0.3">
      <c r="A74" s="169" t="s">
        <v>423</v>
      </c>
      <c r="B74" s="170"/>
      <c r="C74" s="171"/>
      <c r="D74" s="172">
        <f>'PCFP - All Revenue AA-1 R-9'!D33+'PCFP - All Revenue AA-1 R-9'!D49+'PCFP - All Revenue AA-1 R-9'!D57+'PCFP - All Revenue AA-1 R-9'!D71+'PCFP - All Revenue AA-1 R-9'!D67</f>
        <v>0</v>
      </c>
      <c r="E74" s="172">
        <f>'PCFP - All Revenue AA-1 R-9'!E33+'PCFP - All Revenue AA-1 R-9'!E49+'PCFP - All Revenue AA-1 R-9'!E57+'PCFP - All Revenue AA-1 R-9'!E71+'PCFP - All Revenue AA-1 R-9'!E67</f>
        <v>0</v>
      </c>
      <c r="F74" s="173">
        <f>'PCFP - All Revenue AA-1 R-9'!F33+'PCFP - All Revenue AA-1 R-9'!F49+'PCFP - All Revenue AA-1 R-9'!F57+'PCFP - All Revenue AA-1 R-9'!F71+'PCFP - All Revenue AA-1 R-9'!F67</f>
        <v>31502771.590938531</v>
      </c>
      <c r="G74" s="172">
        <f>'PCFP - All Revenue AA-1 R-9'!G33+'PCFP - All Revenue AA-1 R-9'!G49+'PCFP - All Revenue AA-1 R-9'!G57+'PCFP - All Revenue AA-1 R-9'!G71+'PCFP - All Revenue AA-1 R-9'!G67</f>
        <v>0</v>
      </c>
      <c r="H74" s="174">
        <f>'PCFP - All Revenue AA-1 R-9'!H33+'PCFP - All Revenue AA-1 R-9'!H49+'PCFP - All Revenue AA-1 R-9'!H57+'PCFP - All Revenue AA-1 R-9'!H71+'PCFP - All Revenue AA-1 R-9'!H67</f>
        <v>2845140.59</v>
      </c>
      <c r="I74" s="92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44"/>
      <c r="G75" s="143"/>
      <c r="H75" s="111">
        <v>0</v>
      </c>
      <c r="I75" s="92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44"/>
      <c r="G76" s="143"/>
      <c r="H76" s="111">
        <v>0</v>
      </c>
      <c r="I76" s="92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44"/>
      <c r="G77" s="143"/>
      <c r="H77" s="111">
        <v>0</v>
      </c>
      <c r="I77" s="92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92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7">
        <f t="shared" si="2"/>
        <v>0</v>
      </c>
      <c r="G79" s="187">
        <f t="shared" si="2"/>
        <v>0</v>
      </c>
      <c r="H79" s="187">
        <f>SUM(H75:H78)</f>
        <v>0</v>
      </c>
    </row>
    <row r="80" spans="1:9" x14ac:dyDescent="0.2">
      <c r="A80" s="189"/>
      <c r="B80" s="189"/>
      <c r="C80" s="190"/>
      <c r="D80" s="190"/>
      <c r="E80" s="190"/>
      <c r="F80" s="190"/>
      <c r="G80" s="190"/>
      <c r="H80" s="208">
        <f>SUM(F74:H74)</f>
        <v>34347912.180938527</v>
      </c>
    </row>
    <row r="81" spans="1:8" x14ac:dyDescent="0.2">
      <c r="A81" s="94"/>
      <c r="B81" s="94"/>
      <c r="C81" s="191" t="str">
        <f>C1</f>
        <v>Lander County</v>
      </c>
      <c r="D81" s="190" t="s">
        <v>428</v>
      </c>
      <c r="E81" s="190"/>
      <c r="F81" s="190"/>
      <c r="G81" s="192" t="str">
        <f>"Budget Fiscal Year "&amp;TEXT('[9]Form 1'!$C$136, "mm/dd/yy")</f>
        <v>Budget Fiscal Year 2019-2020</v>
      </c>
      <c r="H81" s="190"/>
    </row>
    <row r="82" spans="1:8" x14ac:dyDescent="0.2">
      <c r="A82" s="98"/>
      <c r="B82" s="98"/>
      <c r="C82" s="193" t="s">
        <v>429</v>
      </c>
      <c r="D82" s="189" t="s">
        <v>430</v>
      </c>
      <c r="E82" s="190"/>
      <c r="F82" s="194"/>
      <c r="G82" s="192" t="s">
        <v>431</v>
      </c>
      <c r="H82" s="190"/>
    </row>
    <row r="83" spans="1:8" x14ac:dyDescent="0.2">
      <c r="A83" s="189"/>
      <c r="B83" s="189"/>
      <c r="C83" s="190"/>
      <c r="D83" s="190"/>
      <c r="E83" s="190"/>
      <c r="F83" s="195"/>
      <c r="G83" s="196"/>
      <c r="H83" s="197"/>
    </row>
    <row r="84" spans="1:8" x14ac:dyDescent="0.2">
      <c r="A84" s="189"/>
      <c r="B84" s="189"/>
      <c r="C84" s="190"/>
      <c r="D84" s="190"/>
      <c r="E84" s="190"/>
      <c r="H84" s="192"/>
    </row>
    <row r="85" spans="1:8" x14ac:dyDescent="0.2">
      <c r="A85" s="189"/>
      <c r="B85" s="189"/>
      <c r="C85" s="190"/>
      <c r="D85" s="190"/>
      <c r="E85" s="190"/>
      <c r="H85" s="192"/>
    </row>
  </sheetData>
  <pageMargins left="0.2" right="0.2" top="0.25" bottom="0.25" header="0.05" footer="0.05"/>
  <pageSetup paperSize="5" scale="67" fitToHeight="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2C4D-3CFA-4E1B-9C5F-C164719D8CBD}">
  <sheetPr>
    <tabColor rgb="FFFFFF00"/>
    <pageSetUpPr fitToPage="1"/>
  </sheetPr>
  <dimension ref="A1:L152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10.8554687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3342660</v>
      </c>
      <c r="D3" s="89">
        <v>1560325</v>
      </c>
      <c r="E3" s="89">
        <v>324015</v>
      </c>
      <c r="F3" s="89" t="s">
        <v>451</v>
      </c>
      <c r="G3" s="89" t="s">
        <v>452</v>
      </c>
      <c r="H3" s="89" t="s">
        <v>393</v>
      </c>
      <c r="I3" s="214" t="s">
        <v>455</v>
      </c>
      <c r="J3" s="89">
        <f>SUM(C3:I3)</f>
        <v>5227000</v>
      </c>
      <c r="K3" s="92"/>
    </row>
    <row r="4" spans="1:11" hidden="1" x14ac:dyDescent="0.2">
      <c r="A4" s="116">
        <v>200</v>
      </c>
      <c r="B4" s="95" t="s">
        <v>135</v>
      </c>
      <c r="C4" s="89" t="s">
        <v>393</v>
      </c>
      <c r="D4" s="89" t="s">
        <v>498</v>
      </c>
      <c r="E4" s="89" t="s">
        <v>450</v>
      </c>
      <c r="F4" s="89" t="s">
        <v>451</v>
      </c>
      <c r="G4" s="89" t="s">
        <v>452</v>
      </c>
      <c r="H4" s="89" t="s">
        <v>393</v>
      </c>
      <c r="I4" s="214" t="s">
        <v>455</v>
      </c>
      <c r="J4" s="89">
        <f t="shared" ref="J4:J68" si="0">SUM(C4:I4)</f>
        <v>0</v>
      </c>
      <c r="K4" s="92"/>
    </row>
    <row r="5" spans="1:11" hidden="1" x14ac:dyDescent="0.2">
      <c r="A5" s="210" t="s">
        <v>10</v>
      </c>
      <c r="B5" s="211" t="s">
        <v>136</v>
      </c>
      <c r="C5" s="89" t="s">
        <v>393</v>
      </c>
      <c r="D5" s="89" t="s">
        <v>498</v>
      </c>
      <c r="E5" s="89" t="s">
        <v>450</v>
      </c>
      <c r="F5" s="89" t="s">
        <v>451</v>
      </c>
      <c r="G5" s="89" t="s">
        <v>452</v>
      </c>
      <c r="H5" s="89" t="s">
        <v>393</v>
      </c>
      <c r="I5" s="214" t="s">
        <v>455</v>
      </c>
      <c r="J5" s="89">
        <f t="shared" si="0"/>
        <v>0</v>
      </c>
      <c r="K5" s="212"/>
    </row>
    <row r="6" spans="1:11" hidden="1" x14ac:dyDescent="0.2">
      <c r="A6" s="116">
        <v>270</v>
      </c>
      <c r="B6" s="95" t="s">
        <v>137</v>
      </c>
      <c r="C6" s="89" t="s">
        <v>393</v>
      </c>
      <c r="D6" s="89" t="s">
        <v>498</v>
      </c>
      <c r="E6" s="89" t="s">
        <v>450</v>
      </c>
      <c r="F6" s="89" t="s">
        <v>451</v>
      </c>
      <c r="G6" s="89" t="s">
        <v>452</v>
      </c>
      <c r="H6" s="89" t="s">
        <v>393</v>
      </c>
      <c r="I6" s="214" t="s">
        <v>455</v>
      </c>
      <c r="J6" s="89">
        <f t="shared" si="0"/>
        <v>0</v>
      </c>
      <c r="K6" s="92"/>
    </row>
    <row r="7" spans="1:11" hidden="1" x14ac:dyDescent="0.2">
      <c r="A7" s="210" t="s">
        <v>10</v>
      </c>
      <c r="B7" s="211" t="s">
        <v>138</v>
      </c>
      <c r="C7" s="89" t="s">
        <v>393</v>
      </c>
      <c r="D7" s="89" t="s">
        <v>498</v>
      </c>
      <c r="E7" s="89" t="s">
        <v>450</v>
      </c>
      <c r="F7" s="89" t="s">
        <v>451</v>
      </c>
      <c r="G7" s="89" t="s">
        <v>452</v>
      </c>
      <c r="H7" s="89" t="s">
        <v>393</v>
      </c>
      <c r="I7" s="214" t="s">
        <v>455</v>
      </c>
      <c r="J7" s="89">
        <f t="shared" si="0"/>
        <v>0</v>
      </c>
      <c r="K7" s="212"/>
    </row>
    <row r="8" spans="1:11" x14ac:dyDescent="0.2">
      <c r="A8" s="116">
        <v>300</v>
      </c>
      <c r="B8" s="95" t="s">
        <v>139</v>
      </c>
      <c r="C8" s="89">
        <v>243165</v>
      </c>
      <c r="D8" s="89">
        <v>102505</v>
      </c>
      <c r="E8" s="89">
        <v>12875</v>
      </c>
      <c r="F8" s="89" t="s">
        <v>451</v>
      </c>
      <c r="G8" s="89" t="s">
        <v>452</v>
      </c>
      <c r="H8" s="89" t="s">
        <v>393</v>
      </c>
      <c r="I8" s="214" t="s">
        <v>455</v>
      </c>
      <c r="J8" s="89">
        <f t="shared" si="0"/>
        <v>358545</v>
      </c>
      <c r="K8" s="92"/>
    </row>
    <row r="9" spans="1:11" x14ac:dyDescent="0.2">
      <c r="A9" s="116">
        <v>400</v>
      </c>
      <c r="B9" s="95" t="s">
        <v>140</v>
      </c>
      <c r="C9" s="89">
        <v>50000</v>
      </c>
      <c r="D9" s="89">
        <v>5050</v>
      </c>
      <c r="E9" s="89">
        <v>5580</v>
      </c>
      <c r="F9" s="89" t="s">
        <v>451</v>
      </c>
      <c r="G9" s="89" t="s">
        <v>452</v>
      </c>
      <c r="H9" s="89" t="s">
        <v>393</v>
      </c>
      <c r="I9" s="214" t="s">
        <v>455</v>
      </c>
      <c r="J9" s="89">
        <f t="shared" si="0"/>
        <v>60630</v>
      </c>
      <c r="K9" s="92"/>
    </row>
    <row r="10" spans="1:11" hidden="1" x14ac:dyDescent="0.2">
      <c r="A10" s="210" t="s">
        <v>10</v>
      </c>
      <c r="B10" s="211" t="s">
        <v>141</v>
      </c>
      <c r="C10" s="89" t="s">
        <v>393</v>
      </c>
      <c r="D10" s="89" t="s">
        <v>498</v>
      </c>
      <c r="E10" s="89" t="s">
        <v>450</v>
      </c>
      <c r="F10" s="89" t="s">
        <v>451</v>
      </c>
      <c r="G10" s="89" t="s">
        <v>452</v>
      </c>
      <c r="H10" s="89" t="s">
        <v>393</v>
      </c>
      <c r="I10" s="214" t="s">
        <v>455</v>
      </c>
      <c r="J10" s="89">
        <f t="shared" si="0"/>
        <v>0</v>
      </c>
      <c r="K10" s="212"/>
    </row>
    <row r="11" spans="1:11" hidden="1" x14ac:dyDescent="0.2">
      <c r="A11" s="210" t="s">
        <v>10</v>
      </c>
      <c r="B11" s="211" t="s">
        <v>142</v>
      </c>
      <c r="C11" s="89" t="s">
        <v>393</v>
      </c>
      <c r="D11" s="89" t="s">
        <v>498</v>
      </c>
      <c r="E11" s="89" t="s">
        <v>450</v>
      </c>
      <c r="F11" s="89" t="s">
        <v>451</v>
      </c>
      <c r="G11" s="89" t="s">
        <v>452</v>
      </c>
      <c r="H11" s="89" t="s">
        <v>393</v>
      </c>
      <c r="I11" s="214" t="s">
        <v>455</v>
      </c>
      <c r="J11" s="89">
        <f t="shared" si="0"/>
        <v>0</v>
      </c>
      <c r="K11" s="212"/>
    </row>
    <row r="12" spans="1:11" hidden="1" x14ac:dyDescent="0.2">
      <c r="A12" s="116">
        <v>440</v>
      </c>
      <c r="B12" s="95" t="s">
        <v>143</v>
      </c>
      <c r="C12" s="89" t="s">
        <v>393</v>
      </c>
      <c r="D12" s="89" t="s">
        <v>498</v>
      </c>
      <c r="E12" s="89" t="s">
        <v>450</v>
      </c>
      <c r="F12" s="89" t="s">
        <v>451</v>
      </c>
      <c r="G12" s="89" t="s">
        <v>452</v>
      </c>
      <c r="H12" s="89" t="s">
        <v>393</v>
      </c>
      <c r="I12" s="214" t="s">
        <v>455</v>
      </c>
      <c r="J12" s="89">
        <f t="shared" si="0"/>
        <v>0</v>
      </c>
      <c r="K12" s="92"/>
    </row>
    <row r="13" spans="1:11" hidden="1" x14ac:dyDescent="0.2">
      <c r="A13" s="116">
        <v>500</v>
      </c>
      <c r="B13" s="95" t="s">
        <v>144</v>
      </c>
      <c r="C13" s="89" t="s">
        <v>393</v>
      </c>
      <c r="D13" s="89" t="s">
        <v>498</v>
      </c>
      <c r="E13" s="89" t="s">
        <v>450</v>
      </c>
      <c r="F13" s="89" t="s">
        <v>451</v>
      </c>
      <c r="G13" s="89" t="s">
        <v>452</v>
      </c>
      <c r="H13" s="89" t="s">
        <v>393</v>
      </c>
      <c r="I13" s="214" t="s">
        <v>455</v>
      </c>
      <c r="J13" s="89">
        <f t="shared" si="0"/>
        <v>0</v>
      </c>
      <c r="K13" s="92"/>
    </row>
    <row r="14" spans="1:11" hidden="1" x14ac:dyDescent="0.2">
      <c r="A14" s="116">
        <v>600</v>
      </c>
      <c r="B14" s="95" t="s">
        <v>145</v>
      </c>
      <c r="C14" s="89" t="s">
        <v>393</v>
      </c>
      <c r="D14" s="89" t="s">
        <v>498</v>
      </c>
      <c r="E14" s="89" t="s">
        <v>450</v>
      </c>
      <c r="F14" s="89" t="s">
        <v>451</v>
      </c>
      <c r="G14" s="89" t="s">
        <v>452</v>
      </c>
      <c r="H14" s="89" t="s">
        <v>393</v>
      </c>
      <c r="I14" s="214" t="s">
        <v>455</v>
      </c>
      <c r="J14" s="89">
        <f t="shared" si="0"/>
        <v>0</v>
      </c>
      <c r="K14" s="92"/>
    </row>
    <row r="15" spans="1:11" hidden="1" x14ac:dyDescent="0.2">
      <c r="A15" s="116">
        <v>800</v>
      </c>
      <c r="B15" s="95" t="s">
        <v>146</v>
      </c>
      <c r="C15" s="89" t="s">
        <v>393</v>
      </c>
      <c r="D15" s="89" t="s">
        <v>498</v>
      </c>
      <c r="E15" s="89" t="s">
        <v>450</v>
      </c>
      <c r="F15" s="89" t="s">
        <v>451</v>
      </c>
      <c r="G15" s="89" t="s">
        <v>452</v>
      </c>
      <c r="H15" s="89" t="s">
        <v>393</v>
      </c>
      <c r="I15" s="214" t="s">
        <v>455</v>
      </c>
      <c r="J15" s="89">
        <f t="shared" si="0"/>
        <v>0</v>
      </c>
      <c r="K15" s="92"/>
    </row>
    <row r="16" spans="1:11" x14ac:dyDescent="0.2">
      <c r="A16" s="116">
        <v>910</v>
      </c>
      <c r="B16" s="95" t="s">
        <v>147</v>
      </c>
      <c r="C16" s="89">
        <v>43550</v>
      </c>
      <c r="D16" s="89">
        <v>3580</v>
      </c>
      <c r="E16" s="89">
        <v>12045</v>
      </c>
      <c r="F16" s="89" t="s">
        <v>451</v>
      </c>
      <c r="G16" s="89" t="s">
        <v>452</v>
      </c>
      <c r="H16" s="89" t="s">
        <v>393</v>
      </c>
      <c r="I16" s="214" t="s">
        <v>455</v>
      </c>
      <c r="J16" s="89">
        <f t="shared" si="0"/>
        <v>59175</v>
      </c>
      <c r="K16" s="92"/>
    </row>
    <row r="17" spans="1:11" x14ac:dyDescent="0.2">
      <c r="A17" s="116">
        <v>920</v>
      </c>
      <c r="B17" s="95" t="s">
        <v>148</v>
      </c>
      <c r="C17" s="89">
        <v>131675</v>
      </c>
      <c r="D17" s="89">
        <v>15135</v>
      </c>
      <c r="E17" s="89">
        <v>137970</v>
      </c>
      <c r="F17" s="89" t="s">
        <v>451</v>
      </c>
      <c r="G17" s="89" t="s">
        <v>452</v>
      </c>
      <c r="H17" s="89" t="s">
        <v>393</v>
      </c>
      <c r="I17" s="214" t="s">
        <v>455</v>
      </c>
      <c r="J17" s="89">
        <f t="shared" si="0"/>
        <v>284780</v>
      </c>
      <c r="K17" s="92"/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hidden="1" x14ac:dyDescent="0.25">
      <c r="A20" s="215" t="s">
        <v>443</v>
      </c>
      <c r="B20" s="216" t="s">
        <v>444</v>
      </c>
      <c r="C20" s="89" t="s">
        <v>393</v>
      </c>
      <c r="D20" s="89" t="s">
        <v>498</v>
      </c>
      <c r="E20" s="89" t="s">
        <v>450</v>
      </c>
      <c r="F20" s="89" t="s">
        <v>451</v>
      </c>
      <c r="G20" s="89" t="s">
        <v>452</v>
      </c>
      <c r="H20" s="89" t="s">
        <v>393</v>
      </c>
      <c r="I20" s="214" t="s">
        <v>455</v>
      </c>
      <c r="J20" s="89">
        <f t="shared" si="0"/>
        <v>0</v>
      </c>
      <c r="K20" s="92"/>
    </row>
    <row r="21" spans="1:11" x14ac:dyDescent="0.2">
      <c r="A21" s="116">
        <v>2100</v>
      </c>
      <c r="B21" s="95" t="s">
        <v>151</v>
      </c>
      <c r="C21" s="89">
        <v>210385</v>
      </c>
      <c r="D21" s="89">
        <v>137190</v>
      </c>
      <c r="E21" s="89">
        <v>9745</v>
      </c>
      <c r="F21" s="89" t="s">
        <v>451</v>
      </c>
      <c r="G21" s="89" t="s">
        <v>452</v>
      </c>
      <c r="H21" s="89" t="s">
        <v>393</v>
      </c>
      <c r="I21" s="214" t="s">
        <v>455</v>
      </c>
      <c r="J21" s="89">
        <f t="shared" si="0"/>
        <v>357320</v>
      </c>
      <c r="K21" s="92"/>
    </row>
    <row r="22" spans="1:11" x14ac:dyDescent="0.2">
      <c r="A22" s="116">
        <v>2200</v>
      </c>
      <c r="B22" s="95" t="s">
        <v>152</v>
      </c>
      <c r="C22" s="89">
        <v>142290</v>
      </c>
      <c r="D22" s="89">
        <v>270105</v>
      </c>
      <c r="E22" s="89">
        <v>620697</v>
      </c>
      <c r="F22" s="89" t="s">
        <v>451</v>
      </c>
      <c r="G22" s="89" t="s">
        <v>452</v>
      </c>
      <c r="H22" s="89" t="s">
        <v>393</v>
      </c>
      <c r="I22" s="214" t="s">
        <v>455</v>
      </c>
      <c r="J22" s="89">
        <f t="shared" si="0"/>
        <v>1033092</v>
      </c>
      <c r="K22" s="92"/>
    </row>
    <row r="23" spans="1:11" x14ac:dyDescent="0.2">
      <c r="A23" s="116">
        <v>2300</v>
      </c>
      <c r="B23" s="95" t="s">
        <v>153</v>
      </c>
      <c r="C23" s="89">
        <v>200235</v>
      </c>
      <c r="D23" s="89">
        <v>90545</v>
      </c>
      <c r="E23" s="89">
        <v>588705</v>
      </c>
      <c r="F23" s="89" t="s">
        <v>451</v>
      </c>
      <c r="G23" s="89" t="s">
        <v>452</v>
      </c>
      <c r="H23" s="89" t="s">
        <v>393</v>
      </c>
      <c r="I23" s="214" t="s">
        <v>455</v>
      </c>
      <c r="J23" s="89">
        <f t="shared" si="0"/>
        <v>879485</v>
      </c>
      <c r="K23" s="92"/>
    </row>
    <row r="24" spans="1:11" x14ac:dyDescent="0.2">
      <c r="A24" s="116">
        <v>2400</v>
      </c>
      <c r="B24" s="95" t="s">
        <v>154</v>
      </c>
      <c r="C24" s="89">
        <v>572400</v>
      </c>
      <c r="D24" s="89">
        <v>261185</v>
      </c>
      <c r="E24" s="89">
        <v>42180</v>
      </c>
      <c r="F24" s="89" t="s">
        <v>451</v>
      </c>
      <c r="G24" s="89" t="s">
        <v>452</v>
      </c>
      <c r="H24" s="89" t="s">
        <v>393</v>
      </c>
      <c r="I24" s="214" t="s">
        <v>455</v>
      </c>
      <c r="J24" s="89">
        <f t="shared" si="0"/>
        <v>875765</v>
      </c>
      <c r="K24" s="92"/>
    </row>
    <row r="25" spans="1:11" x14ac:dyDescent="0.2">
      <c r="A25" s="116">
        <v>2500</v>
      </c>
      <c r="B25" s="95" t="s">
        <v>155</v>
      </c>
      <c r="C25" s="89">
        <v>304290</v>
      </c>
      <c r="D25" s="89">
        <v>124931</v>
      </c>
      <c r="E25" s="89">
        <v>58600</v>
      </c>
      <c r="F25" s="89" t="s">
        <v>451</v>
      </c>
      <c r="G25" s="89" t="s">
        <v>452</v>
      </c>
      <c r="H25" s="89" t="s">
        <v>393</v>
      </c>
      <c r="I25" s="214" t="s">
        <v>455</v>
      </c>
      <c r="J25" s="89">
        <f t="shared" si="0"/>
        <v>487821</v>
      </c>
      <c r="K25" s="92"/>
    </row>
    <row r="26" spans="1:11" x14ac:dyDescent="0.2">
      <c r="A26" s="116">
        <v>2600</v>
      </c>
      <c r="B26" s="95" t="s">
        <v>156</v>
      </c>
      <c r="C26" s="89">
        <v>375770</v>
      </c>
      <c r="D26" s="89">
        <v>191400</v>
      </c>
      <c r="E26" s="89">
        <v>1064620</v>
      </c>
      <c r="F26" s="89" t="s">
        <v>451</v>
      </c>
      <c r="G26" s="89" t="s">
        <v>452</v>
      </c>
      <c r="H26" s="89" t="s">
        <v>393</v>
      </c>
      <c r="I26" s="214" t="s">
        <v>455</v>
      </c>
      <c r="J26" s="89">
        <f t="shared" si="0"/>
        <v>1631790</v>
      </c>
      <c r="K26" s="92"/>
    </row>
    <row r="27" spans="1:11" x14ac:dyDescent="0.2">
      <c r="A27" s="217">
        <v>2700</v>
      </c>
      <c r="B27" s="211" t="s">
        <v>157</v>
      </c>
      <c r="C27" s="89">
        <v>166218</v>
      </c>
      <c r="D27" s="89">
        <v>75410</v>
      </c>
      <c r="E27" s="89">
        <v>161575</v>
      </c>
      <c r="F27" s="89" t="s">
        <v>451</v>
      </c>
      <c r="G27" s="89" t="s">
        <v>452</v>
      </c>
      <c r="H27" s="89" t="s">
        <v>393</v>
      </c>
      <c r="I27" s="214" t="s">
        <v>455</v>
      </c>
      <c r="J27" s="89">
        <f t="shared" si="0"/>
        <v>403203</v>
      </c>
      <c r="K27" s="212"/>
    </row>
    <row r="28" spans="1:11" hidden="1" x14ac:dyDescent="0.2">
      <c r="A28" s="116">
        <v>2800</v>
      </c>
      <c r="B28" s="95"/>
      <c r="C28" s="89"/>
      <c r="D28" s="89"/>
      <c r="E28" s="89"/>
      <c r="F28" s="89"/>
      <c r="G28" s="89"/>
      <c r="H28" s="89"/>
      <c r="I28" s="214"/>
      <c r="J28" s="89"/>
      <c r="K28" s="212"/>
    </row>
    <row r="29" spans="1:11" x14ac:dyDescent="0.2">
      <c r="A29" s="116">
        <v>2900</v>
      </c>
      <c r="B29" s="95" t="s">
        <v>158</v>
      </c>
      <c r="C29" s="89"/>
      <c r="D29" s="89"/>
      <c r="E29" s="89"/>
      <c r="F29" s="89" t="s">
        <v>451</v>
      </c>
      <c r="G29" s="89" t="s">
        <v>452</v>
      </c>
      <c r="H29" s="89" t="s">
        <v>393</v>
      </c>
      <c r="I29" s="214">
        <v>462213</v>
      </c>
      <c r="J29" s="89">
        <f t="shared" si="0"/>
        <v>462213</v>
      </c>
      <c r="K29" s="92"/>
    </row>
    <row r="30" spans="1:11" s="204" customFormat="1" ht="15" hidden="1" x14ac:dyDescent="0.25">
      <c r="A30" s="218">
        <v>3000</v>
      </c>
      <c r="B30" s="216" t="s">
        <v>159</v>
      </c>
      <c r="C30" s="89" t="s">
        <v>393</v>
      </c>
      <c r="D30" s="89" t="s">
        <v>498</v>
      </c>
      <c r="E30" s="89" t="s">
        <v>450</v>
      </c>
      <c r="F30" s="89" t="s">
        <v>451</v>
      </c>
      <c r="G30" s="89" t="s">
        <v>452</v>
      </c>
      <c r="H30" s="89" t="s">
        <v>393</v>
      </c>
      <c r="I30" s="214" t="s">
        <v>455</v>
      </c>
      <c r="J30" s="89">
        <f t="shared" si="0"/>
        <v>0</v>
      </c>
      <c r="K30" s="219"/>
    </row>
    <row r="31" spans="1:11" hidden="1" x14ac:dyDescent="0.2">
      <c r="A31" s="217">
        <v>3100</v>
      </c>
      <c r="B31" s="211" t="s">
        <v>160</v>
      </c>
      <c r="C31" s="89" t="s">
        <v>393</v>
      </c>
      <c r="D31" s="89" t="s">
        <v>498</v>
      </c>
      <c r="E31" s="89" t="s">
        <v>450</v>
      </c>
      <c r="F31" s="89" t="s">
        <v>451</v>
      </c>
      <c r="G31" s="89" t="s">
        <v>452</v>
      </c>
      <c r="H31" s="89" t="s">
        <v>393</v>
      </c>
      <c r="I31" s="214" t="s">
        <v>455</v>
      </c>
      <c r="J31" s="89">
        <f t="shared" si="0"/>
        <v>0</v>
      </c>
      <c r="K31" s="212"/>
    </row>
    <row r="32" spans="1:11" hidden="1" x14ac:dyDescent="0.2">
      <c r="A32" s="116">
        <v>3200</v>
      </c>
      <c r="B32" s="95" t="s">
        <v>161</v>
      </c>
      <c r="C32" s="89" t="s">
        <v>393</v>
      </c>
      <c r="D32" s="89" t="s">
        <v>498</v>
      </c>
      <c r="E32" s="89" t="s">
        <v>450</v>
      </c>
      <c r="F32" s="89" t="s">
        <v>451</v>
      </c>
      <c r="G32" s="89" t="s">
        <v>452</v>
      </c>
      <c r="H32" s="89" t="s">
        <v>393</v>
      </c>
      <c r="I32" s="214" t="s">
        <v>455</v>
      </c>
      <c r="J32" s="89">
        <f t="shared" si="0"/>
        <v>0</v>
      </c>
      <c r="K32" s="92"/>
    </row>
    <row r="33" spans="1:11" hidden="1" x14ac:dyDescent="0.2">
      <c r="A33" s="116">
        <v>3300</v>
      </c>
      <c r="B33" s="95" t="s">
        <v>162</v>
      </c>
      <c r="C33" s="89" t="s">
        <v>393</v>
      </c>
      <c r="D33" s="89" t="s">
        <v>498</v>
      </c>
      <c r="E33" s="89" t="s">
        <v>450</v>
      </c>
      <c r="F33" s="89" t="s">
        <v>451</v>
      </c>
      <c r="G33" s="89" t="s">
        <v>452</v>
      </c>
      <c r="H33" s="89" t="s">
        <v>393</v>
      </c>
      <c r="I33" s="214" t="s">
        <v>455</v>
      </c>
      <c r="J33" s="89">
        <f t="shared" si="0"/>
        <v>0</v>
      </c>
      <c r="K33" s="92"/>
    </row>
    <row r="34" spans="1:11" s="223" customFormat="1" hidden="1" x14ac:dyDescent="0.2">
      <c r="A34" s="220">
        <v>4100</v>
      </c>
      <c r="B34" s="221" t="s">
        <v>163</v>
      </c>
      <c r="C34" s="89" t="s">
        <v>393</v>
      </c>
      <c r="D34" s="89" t="s">
        <v>498</v>
      </c>
      <c r="E34" s="89" t="s">
        <v>450</v>
      </c>
      <c r="F34" s="89" t="s">
        <v>451</v>
      </c>
      <c r="G34" s="89" t="s">
        <v>452</v>
      </c>
      <c r="H34" s="89" t="s">
        <v>393</v>
      </c>
      <c r="I34" s="214" t="s">
        <v>455</v>
      </c>
      <c r="J34" s="89">
        <f t="shared" si="0"/>
        <v>0</v>
      </c>
      <c r="K34" s="222"/>
    </row>
    <row r="35" spans="1:11" s="225" customFormat="1" ht="15" hidden="1" x14ac:dyDescent="0.25">
      <c r="A35" s="220">
        <v>4000</v>
      </c>
      <c r="B35" s="221" t="s">
        <v>164</v>
      </c>
      <c r="C35" s="89" t="s">
        <v>393</v>
      </c>
      <c r="D35" s="89" t="s">
        <v>498</v>
      </c>
      <c r="E35" s="89" t="s">
        <v>450</v>
      </c>
      <c r="F35" s="89" t="s">
        <v>451</v>
      </c>
      <c r="G35" s="89" t="s">
        <v>452</v>
      </c>
      <c r="H35" s="89" t="s">
        <v>393</v>
      </c>
      <c r="I35" s="214" t="s">
        <v>455</v>
      </c>
      <c r="J35" s="89">
        <f t="shared" si="0"/>
        <v>0</v>
      </c>
      <c r="K35" s="224"/>
    </row>
    <row r="36" spans="1:11" s="223" customFormat="1" hidden="1" x14ac:dyDescent="0.2">
      <c r="A36" s="220">
        <v>4200</v>
      </c>
      <c r="B36" s="221" t="s">
        <v>165</v>
      </c>
      <c r="C36" s="89" t="s">
        <v>393</v>
      </c>
      <c r="D36" s="89" t="s">
        <v>498</v>
      </c>
      <c r="E36" s="89" t="s">
        <v>450</v>
      </c>
      <c r="F36" s="89" t="s">
        <v>451</v>
      </c>
      <c r="G36" s="89" t="s">
        <v>452</v>
      </c>
      <c r="H36" s="89" t="s">
        <v>393</v>
      </c>
      <c r="I36" s="214" t="s">
        <v>455</v>
      </c>
      <c r="J36" s="89">
        <f t="shared" si="0"/>
        <v>0</v>
      </c>
      <c r="K36" s="222"/>
    </row>
    <row r="37" spans="1:11" s="223" customFormat="1" hidden="1" x14ac:dyDescent="0.2">
      <c r="A37" s="220">
        <v>4300</v>
      </c>
      <c r="B37" s="221" t="s">
        <v>166</v>
      </c>
      <c r="C37" s="89" t="s">
        <v>393</v>
      </c>
      <c r="D37" s="89" t="s">
        <v>498</v>
      </c>
      <c r="E37" s="89" t="s">
        <v>450</v>
      </c>
      <c r="F37" s="89" t="s">
        <v>451</v>
      </c>
      <c r="G37" s="89" t="s">
        <v>452</v>
      </c>
      <c r="H37" s="89" t="s">
        <v>393</v>
      </c>
      <c r="I37" s="214" t="s">
        <v>455</v>
      </c>
      <c r="J37" s="89">
        <f t="shared" si="0"/>
        <v>0</v>
      </c>
      <c r="K37" s="222"/>
    </row>
    <row r="38" spans="1:11" s="223" customFormat="1" ht="28.5" hidden="1" x14ac:dyDescent="0.2">
      <c r="A38" s="220">
        <v>4400</v>
      </c>
      <c r="B38" s="221" t="s">
        <v>167</v>
      </c>
      <c r="C38" s="89" t="s">
        <v>393</v>
      </c>
      <c r="D38" s="89" t="s">
        <v>498</v>
      </c>
      <c r="E38" s="89" t="s">
        <v>450</v>
      </c>
      <c r="F38" s="89" t="s">
        <v>451</v>
      </c>
      <c r="G38" s="89" t="s">
        <v>452</v>
      </c>
      <c r="H38" s="89" t="s">
        <v>393</v>
      </c>
      <c r="I38" s="214" t="s">
        <v>455</v>
      </c>
      <c r="J38" s="89">
        <f t="shared" si="0"/>
        <v>0</v>
      </c>
      <c r="K38" s="222"/>
    </row>
    <row r="39" spans="1:11" s="223" customFormat="1" hidden="1" x14ac:dyDescent="0.2">
      <c r="A39" s="220">
        <v>4500</v>
      </c>
      <c r="B39" s="221" t="s">
        <v>168</v>
      </c>
      <c r="C39" s="89" t="s">
        <v>393</v>
      </c>
      <c r="D39" s="89" t="s">
        <v>498</v>
      </c>
      <c r="E39" s="89" t="s">
        <v>450</v>
      </c>
      <c r="F39" s="89" t="s">
        <v>451</v>
      </c>
      <c r="G39" s="89" t="s">
        <v>452</v>
      </c>
      <c r="H39" s="89" t="s">
        <v>393</v>
      </c>
      <c r="I39" s="214" t="s">
        <v>455</v>
      </c>
      <c r="J39" s="89">
        <f t="shared" si="0"/>
        <v>0</v>
      </c>
      <c r="K39" s="222"/>
    </row>
    <row r="40" spans="1:11" s="223" customFormat="1" hidden="1" x14ac:dyDescent="0.2">
      <c r="A40" s="220">
        <v>4600</v>
      </c>
      <c r="B40" s="221" t="s">
        <v>169</v>
      </c>
      <c r="C40" s="89" t="s">
        <v>393</v>
      </c>
      <c r="D40" s="89" t="s">
        <v>498</v>
      </c>
      <c r="E40" s="89" t="s">
        <v>450</v>
      </c>
      <c r="F40" s="89" t="s">
        <v>451</v>
      </c>
      <c r="G40" s="89" t="s">
        <v>452</v>
      </c>
      <c r="H40" s="89" t="s">
        <v>393</v>
      </c>
      <c r="I40" s="214" t="s">
        <v>455</v>
      </c>
      <c r="J40" s="89">
        <f t="shared" si="0"/>
        <v>0</v>
      </c>
      <c r="K40" s="222"/>
    </row>
    <row r="41" spans="1:11" s="223" customFormat="1" hidden="1" x14ac:dyDescent="0.2">
      <c r="A41" s="220">
        <v>4700</v>
      </c>
      <c r="B41" s="221" t="s">
        <v>170</v>
      </c>
      <c r="C41" s="89" t="s">
        <v>393</v>
      </c>
      <c r="D41" s="89" t="s">
        <v>498</v>
      </c>
      <c r="E41" s="89" t="s">
        <v>450</v>
      </c>
      <c r="F41" s="89" t="s">
        <v>451</v>
      </c>
      <c r="G41" s="89" t="s">
        <v>452</v>
      </c>
      <c r="H41" s="89" t="s">
        <v>393</v>
      </c>
      <c r="I41" s="214" t="s">
        <v>455</v>
      </c>
      <c r="J41" s="89">
        <f t="shared" si="0"/>
        <v>0</v>
      </c>
      <c r="K41" s="222"/>
    </row>
    <row r="42" spans="1:11" s="223" customFormat="1" hidden="1" x14ac:dyDescent="0.2">
      <c r="A42" s="220">
        <v>4900</v>
      </c>
      <c r="B42" s="221" t="s">
        <v>171</v>
      </c>
      <c r="C42" s="89" t="s">
        <v>393</v>
      </c>
      <c r="D42" s="89" t="s">
        <v>498</v>
      </c>
      <c r="E42" s="89" t="s">
        <v>450</v>
      </c>
      <c r="F42" s="89" t="s">
        <v>451</v>
      </c>
      <c r="G42" s="89" t="s">
        <v>452</v>
      </c>
      <c r="H42" s="89" t="s">
        <v>393</v>
      </c>
      <c r="I42" s="214" t="s">
        <v>455</v>
      </c>
      <c r="J42" s="89">
        <f t="shared" si="0"/>
        <v>0</v>
      </c>
      <c r="K42" s="222"/>
    </row>
    <row r="43" spans="1:11" hidden="1" x14ac:dyDescent="0.2">
      <c r="A43" s="220">
        <v>5000</v>
      </c>
      <c r="B43" s="226" t="s">
        <v>172</v>
      </c>
      <c r="C43" s="89" t="s">
        <v>393</v>
      </c>
      <c r="D43" s="89" t="s">
        <v>498</v>
      </c>
      <c r="E43" s="89" t="s">
        <v>450</v>
      </c>
      <c r="F43" s="89" t="s">
        <v>451</v>
      </c>
      <c r="G43" s="89" t="s">
        <v>452</v>
      </c>
      <c r="H43" s="89" t="s">
        <v>393</v>
      </c>
      <c r="I43" s="214" t="s">
        <v>455</v>
      </c>
      <c r="J43" s="89">
        <f t="shared" si="0"/>
        <v>0</v>
      </c>
      <c r="K43" s="92"/>
    </row>
    <row r="44" spans="1:11" hidden="1" x14ac:dyDescent="0.2">
      <c r="A44" s="220">
        <v>5000</v>
      </c>
      <c r="B44" s="226" t="s">
        <v>173</v>
      </c>
      <c r="C44" s="89"/>
      <c r="D44" s="89"/>
      <c r="E44" s="89"/>
      <c r="F44" s="89"/>
      <c r="G44" s="89"/>
      <c r="H44" s="89"/>
      <c r="I44" s="214" t="s">
        <v>455</v>
      </c>
      <c r="J44" s="89">
        <f t="shared" si="0"/>
        <v>0</v>
      </c>
      <c r="K44" s="92"/>
    </row>
    <row r="45" spans="1:11" hidden="1" x14ac:dyDescent="0.2">
      <c r="A45" s="220">
        <v>6100</v>
      </c>
      <c r="B45" s="226" t="s">
        <v>174</v>
      </c>
      <c r="C45" s="89" t="s">
        <v>393</v>
      </c>
      <c r="D45" s="89" t="s">
        <v>498</v>
      </c>
      <c r="E45" s="89" t="s">
        <v>450</v>
      </c>
      <c r="F45" s="89" t="s">
        <v>451</v>
      </c>
      <c r="G45" s="89" t="s">
        <v>452</v>
      </c>
      <c r="H45" s="89" t="s">
        <v>393</v>
      </c>
      <c r="I45" s="214" t="s">
        <v>455</v>
      </c>
      <c r="J45" s="89">
        <f t="shared" si="0"/>
        <v>0</v>
      </c>
      <c r="K45" s="92"/>
    </row>
    <row r="46" spans="1:11" x14ac:dyDescent="0.2">
      <c r="A46" s="116">
        <v>6200</v>
      </c>
      <c r="B46" s="95" t="s">
        <v>175</v>
      </c>
      <c r="C46" s="89" t="s">
        <v>393</v>
      </c>
      <c r="D46" s="89" t="s">
        <v>498</v>
      </c>
      <c r="E46" s="89" t="s">
        <v>450</v>
      </c>
      <c r="F46" s="89">
        <v>2163639</v>
      </c>
      <c r="G46" s="89" t="s">
        <v>452</v>
      </c>
      <c r="H46" s="89" t="s">
        <v>393</v>
      </c>
      <c r="I46" s="214" t="s">
        <v>455</v>
      </c>
      <c r="J46" s="89">
        <f t="shared" si="0"/>
        <v>2163639</v>
      </c>
      <c r="K46" s="92"/>
    </row>
    <row r="47" spans="1:11" x14ac:dyDescent="0.2">
      <c r="A47" s="116">
        <v>6300</v>
      </c>
      <c r="B47" s="95" t="s">
        <v>176</v>
      </c>
      <c r="C47" s="89"/>
      <c r="D47" s="89"/>
      <c r="E47" s="89"/>
      <c r="F47" s="89"/>
      <c r="G47" s="89">
        <v>300000</v>
      </c>
      <c r="H47" s="89" t="s">
        <v>393</v>
      </c>
      <c r="I47" s="214" t="s">
        <v>455</v>
      </c>
      <c r="J47" s="89">
        <f t="shared" si="0"/>
        <v>300000</v>
      </c>
      <c r="K47" s="92"/>
    </row>
    <row r="48" spans="1:11" x14ac:dyDescent="0.2">
      <c r="A48" s="116">
        <v>8000</v>
      </c>
      <c r="B48" s="227" t="s">
        <v>177</v>
      </c>
      <c r="C48" s="89"/>
      <c r="D48" s="89"/>
      <c r="E48" s="89"/>
      <c r="F48" s="534"/>
      <c r="G48" s="89" t="s">
        <v>452</v>
      </c>
      <c r="H48" s="89">
        <v>448602</v>
      </c>
      <c r="I48" s="214" t="s">
        <v>455</v>
      </c>
      <c r="J48" s="89">
        <f t="shared" si="0"/>
        <v>448602</v>
      </c>
      <c r="K48" s="92"/>
    </row>
    <row r="49" spans="1:11" hidden="1" x14ac:dyDescent="0.2">
      <c r="A49" s="116"/>
      <c r="B49" s="227" t="s">
        <v>445</v>
      </c>
      <c r="C49" s="89"/>
      <c r="D49" s="89"/>
      <c r="E49" s="89"/>
      <c r="F49" s="89"/>
      <c r="G49" s="89"/>
      <c r="H49" s="89"/>
      <c r="I49" s="214" t="s">
        <v>455</v>
      </c>
      <c r="J49" s="89">
        <f t="shared" si="0"/>
        <v>0</v>
      </c>
      <c r="K49" s="92"/>
    </row>
    <row r="50" spans="1:11" x14ac:dyDescent="0.2">
      <c r="A50" s="229"/>
      <c r="B50" s="100" t="s">
        <v>446</v>
      </c>
      <c r="C50" s="89"/>
      <c r="D50" s="89"/>
      <c r="E50" s="89"/>
      <c r="F50" s="89"/>
      <c r="G50" s="89" t="s">
        <v>452</v>
      </c>
      <c r="H50" s="89">
        <v>8834921</v>
      </c>
      <c r="I50" s="214" t="s">
        <v>455</v>
      </c>
      <c r="J50" s="89">
        <f t="shared" si="0"/>
        <v>8834921</v>
      </c>
      <c r="K50" s="92"/>
    </row>
    <row r="51" spans="1:11" ht="15" thickBot="1" x14ac:dyDescent="0.25">
      <c r="A51" s="230"/>
      <c r="B51" s="231" t="s">
        <v>255</v>
      </c>
      <c r="C51" s="232" t="s">
        <v>393</v>
      </c>
      <c r="D51" s="232" t="s">
        <v>498</v>
      </c>
      <c r="E51" s="232" t="s">
        <v>450</v>
      </c>
      <c r="F51" s="232" t="s">
        <v>451</v>
      </c>
      <c r="G51" s="232" t="s">
        <v>452</v>
      </c>
      <c r="H51" s="232" t="s">
        <v>393</v>
      </c>
      <c r="I51" s="316" t="s">
        <v>455</v>
      </c>
      <c r="J51" s="232">
        <f t="shared" si="0"/>
        <v>0</v>
      </c>
      <c r="K51" s="233"/>
    </row>
    <row r="52" spans="1:11" ht="15.75" thickBot="1" x14ac:dyDescent="0.3">
      <c r="A52" s="234"/>
      <c r="B52" s="235" t="s">
        <v>447</v>
      </c>
      <c r="C52" s="236">
        <f>SUM(C2:C51)</f>
        <v>5782638</v>
      </c>
      <c r="D52" s="236">
        <f>SUM(D2:D51)</f>
        <v>2837361</v>
      </c>
      <c r="E52" s="236">
        <f>SUM(E2:E51)</f>
        <v>3038607</v>
      </c>
      <c r="F52" s="236">
        <f t="shared" ref="F52:I52" si="1">SUM(F2:F51)</f>
        <v>2163639</v>
      </c>
      <c r="G52" s="236">
        <f t="shared" si="1"/>
        <v>300000</v>
      </c>
      <c r="H52" s="236">
        <f t="shared" si="1"/>
        <v>9283523</v>
      </c>
      <c r="I52" s="237">
        <f t="shared" si="1"/>
        <v>462213</v>
      </c>
      <c r="J52" s="236">
        <f t="shared" si="0"/>
        <v>23867981</v>
      </c>
      <c r="K52" s="239"/>
    </row>
    <row r="53" spans="1:11" ht="15" x14ac:dyDescent="0.25">
      <c r="A53" s="218" t="s">
        <v>448</v>
      </c>
      <c r="B53" s="95"/>
      <c r="C53" s="240" t="s">
        <v>393</v>
      </c>
      <c r="D53" s="240" t="s">
        <v>498</v>
      </c>
      <c r="E53" s="240">
        <v>228092</v>
      </c>
      <c r="F53" s="240" t="s">
        <v>451</v>
      </c>
      <c r="G53" s="240" t="s">
        <v>452</v>
      </c>
      <c r="H53" s="240">
        <v>228090</v>
      </c>
      <c r="I53" s="241" t="s">
        <v>455</v>
      </c>
      <c r="J53" s="144">
        <f t="shared" si="0"/>
        <v>456182</v>
      </c>
      <c r="K53" s="112"/>
    </row>
    <row r="54" spans="1:11" ht="15.75" thickBot="1" x14ac:dyDescent="0.3">
      <c r="A54" s="243" t="s">
        <v>453</v>
      </c>
      <c r="B54" s="244"/>
      <c r="C54" s="207">
        <v>0</v>
      </c>
      <c r="D54" s="207">
        <v>0</v>
      </c>
      <c r="E54" s="207">
        <v>0</v>
      </c>
      <c r="F54" s="207">
        <v>0</v>
      </c>
      <c r="G54" s="207">
        <v>0</v>
      </c>
      <c r="H54" s="207">
        <v>0</v>
      </c>
      <c r="I54" s="208">
        <v>0</v>
      </c>
      <c r="J54" s="209">
        <f t="shared" si="0"/>
        <v>0</v>
      </c>
      <c r="K54" s="233"/>
    </row>
    <row r="55" spans="1:11" ht="20.25" customHeight="1" thickBot="1" x14ac:dyDescent="0.3">
      <c r="A55" s="245" t="s">
        <v>454</v>
      </c>
      <c r="B55" s="246"/>
      <c r="C55" s="247">
        <f>SUM(C52:C54)</f>
        <v>5782638</v>
      </c>
      <c r="D55" s="247">
        <f t="shared" ref="D55:H55" si="2">SUM(D52:D54)</f>
        <v>2837361</v>
      </c>
      <c r="E55" s="247">
        <f t="shared" si="2"/>
        <v>3266699</v>
      </c>
      <c r="F55" s="247">
        <f t="shared" si="2"/>
        <v>2163639</v>
      </c>
      <c r="G55" s="247">
        <f t="shared" si="2"/>
        <v>300000</v>
      </c>
      <c r="H55" s="247">
        <f t="shared" si="2"/>
        <v>9511613</v>
      </c>
      <c r="I55" s="248">
        <f>SUM(I52:I54)</f>
        <v>462213</v>
      </c>
      <c r="J55" s="236">
        <f>SUM(C55:I55)</f>
        <v>24324163</v>
      </c>
      <c r="K55" s="239"/>
    </row>
    <row r="56" spans="1:11" ht="18" customHeight="1" x14ac:dyDescent="0.25">
      <c r="A56" s="218" t="s">
        <v>308</v>
      </c>
      <c r="B56" s="95"/>
      <c r="C56" s="144"/>
      <c r="D56" s="240"/>
      <c r="E56" s="240"/>
      <c r="F56" s="240"/>
      <c r="G56" s="240"/>
      <c r="H56" s="240"/>
      <c r="I56" s="241"/>
      <c r="J56" s="144"/>
      <c r="K56" s="112"/>
    </row>
    <row r="57" spans="1:11" ht="15" hidden="1" x14ac:dyDescent="0.25">
      <c r="A57" s="116"/>
      <c r="B57" s="95" t="s">
        <v>179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214">
        <v>0</v>
      </c>
      <c r="J57" s="89">
        <f t="shared" si="0"/>
        <v>0</v>
      </c>
      <c r="K57" s="249"/>
    </row>
    <row r="58" spans="1:11" ht="15" x14ac:dyDescent="0.25">
      <c r="A58" s="116"/>
      <c r="B58" s="95" t="s">
        <v>145</v>
      </c>
      <c r="C58" s="89">
        <v>52071</v>
      </c>
      <c r="D58" s="89">
        <v>5219</v>
      </c>
      <c r="E58" s="89">
        <v>3500.31</v>
      </c>
      <c r="F58" s="89">
        <v>0</v>
      </c>
      <c r="G58" s="89">
        <v>0</v>
      </c>
      <c r="H58" s="89">
        <v>0</v>
      </c>
      <c r="I58" s="214">
        <v>3696.45</v>
      </c>
      <c r="J58" s="89">
        <f t="shared" si="0"/>
        <v>64486.759999999995</v>
      </c>
      <c r="K58" s="249"/>
    </row>
    <row r="59" spans="1:11" ht="15" hidden="1" x14ac:dyDescent="0.25">
      <c r="A59" s="116"/>
      <c r="B59" s="95" t="s">
        <v>180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214">
        <v>0</v>
      </c>
      <c r="J59" s="89">
        <f t="shared" si="0"/>
        <v>0</v>
      </c>
      <c r="K59" s="249"/>
    </row>
    <row r="60" spans="1:11" ht="15" hidden="1" x14ac:dyDescent="0.25">
      <c r="A60" s="116"/>
      <c r="B60" s="95" t="s">
        <v>181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214">
        <v>0</v>
      </c>
      <c r="J60" s="89">
        <f t="shared" si="0"/>
        <v>0</v>
      </c>
      <c r="K60" s="249"/>
    </row>
    <row r="61" spans="1:11" ht="15" hidden="1" x14ac:dyDescent="0.25">
      <c r="A61" s="116"/>
      <c r="B61" s="95" t="s">
        <v>182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214">
        <v>0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183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214">
        <v>0</v>
      </c>
      <c r="J62" s="89">
        <f t="shared" si="0"/>
        <v>0</v>
      </c>
      <c r="K62" s="249"/>
    </row>
    <row r="63" spans="1:11" ht="15" x14ac:dyDescent="0.25">
      <c r="A63" s="251"/>
      <c r="B63" s="100" t="s">
        <v>184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10000</v>
      </c>
      <c r="I63" s="214">
        <v>703682</v>
      </c>
      <c r="J63" s="89">
        <f t="shared" si="0"/>
        <v>713682</v>
      </c>
      <c r="K63" s="249"/>
    </row>
    <row r="64" spans="1:11" ht="15" x14ac:dyDescent="0.25">
      <c r="A64" s="251"/>
      <c r="B64" s="100" t="s">
        <v>185</v>
      </c>
      <c r="C64" s="89">
        <v>0</v>
      </c>
      <c r="D64" s="89">
        <v>0</v>
      </c>
      <c r="E64" s="89">
        <v>312700</v>
      </c>
      <c r="F64" s="89">
        <v>0</v>
      </c>
      <c r="G64" s="89">
        <v>0</v>
      </c>
      <c r="H64" s="89">
        <v>1210008</v>
      </c>
      <c r="I64" s="214"/>
      <c r="J64" s="89">
        <f t="shared" si="0"/>
        <v>1522708</v>
      </c>
      <c r="K64" s="249"/>
    </row>
    <row r="65" spans="1:11" ht="15" hidden="1" x14ac:dyDescent="0.25">
      <c r="A65" s="251"/>
      <c r="B65" s="100" t="s">
        <v>186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214">
        <v>0</v>
      </c>
      <c r="J65" s="89">
        <f t="shared" si="0"/>
        <v>0</v>
      </c>
      <c r="K65" s="249"/>
    </row>
    <row r="66" spans="1:11" ht="15" x14ac:dyDescent="0.25">
      <c r="A66" s="251"/>
      <c r="B66" s="100" t="s">
        <v>187</v>
      </c>
      <c r="C66" s="89">
        <v>0</v>
      </c>
      <c r="D66" s="89">
        <v>0</v>
      </c>
      <c r="E66" s="89">
        <v>1359171</v>
      </c>
      <c r="F66" s="89">
        <v>0</v>
      </c>
      <c r="G66" s="89">
        <v>0</v>
      </c>
      <c r="H66" s="89">
        <v>3832610</v>
      </c>
      <c r="I66" s="214"/>
      <c r="J66" s="89">
        <f t="shared" si="0"/>
        <v>5191781</v>
      </c>
      <c r="K66" s="249"/>
    </row>
    <row r="67" spans="1:11" ht="15" hidden="1" x14ac:dyDescent="0.25">
      <c r="A67" s="251"/>
      <c r="B67" s="100" t="s">
        <v>188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214">
        <v>0</v>
      </c>
      <c r="J67" s="89">
        <f t="shared" si="0"/>
        <v>0</v>
      </c>
      <c r="K67" s="249"/>
    </row>
    <row r="68" spans="1:11" ht="15" hidden="1" x14ac:dyDescent="0.25">
      <c r="A68" s="251"/>
      <c r="B68" s="100" t="s">
        <v>189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214">
        <v>0</v>
      </c>
      <c r="J68" s="89">
        <f t="shared" si="0"/>
        <v>0</v>
      </c>
      <c r="K68" s="249"/>
    </row>
    <row r="69" spans="1:11" ht="15" hidden="1" x14ac:dyDescent="0.25">
      <c r="A69" s="116"/>
      <c r="B69" s="95" t="s">
        <v>190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214">
        <v>0</v>
      </c>
      <c r="J69" s="89">
        <f t="shared" ref="J69:J132" si="3">SUM(C69:I69)</f>
        <v>0</v>
      </c>
      <c r="K69" s="249"/>
    </row>
    <row r="70" spans="1:11" ht="15" x14ac:dyDescent="0.25">
      <c r="A70" s="116"/>
      <c r="B70" s="95" t="s">
        <v>191</v>
      </c>
      <c r="C70" s="89">
        <v>108669</v>
      </c>
      <c r="D70" s="89">
        <v>53062</v>
      </c>
      <c r="E70" s="89">
        <v>0</v>
      </c>
      <c r="F70" s="89">
        <v>0</v>
      </c>
      <c r="G70" s="89">
        <v>0</v>
      </c>
      <c r="H70" s="89"/>
      <c r="I70" s="214">
        <v>0</v>
      </c>
      <c r="J70" s="89">
        <f t="shared" si="3"/>
        <v>161731</v>
      </c>
      <c r="K70" s="249"/>
    </row>
    <row r="71" spans="1:11" ht="15" hidden="1" x14ac:dyDescent="0.25">
      <c r="A71" s="116"/>
      <c r="B71" s="95" t="s">
        <v>192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193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194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195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196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214">
        <v>0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197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214">
        <v>0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198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199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200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214">
        <v>0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201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214">
        <v>0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202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214">
        <v>0</v>
      </c>
      <c r="J81" s="89">
        <f t="shared" si="3"/>
        <v>0</v>
      </c>
      <c r="K81" s="249"/>
    </row>
    <row r="82" spans="1:12" ht="15" x14ac:dyDescent="0.25">
      <c r="A82" s="116"/>
      <c r="B82" s="95" t="s">
        <v>203</v>
      </c>
      <c r="C82" s="89">
        <v>0</v>
      </c>
      <c r="D82" s="89">
        <v>0</v>
      </c>
      <c r="E82" s="89">
        <v>100000</v>
      </c>
      <c r="F82" s="89"/>
      <c r="G82" s="89">
        <v>0</v>
      </c>
      <c r="H82" s="89">
        <v>1341936</v>
      </c>
      <c r="I82" s="214">
        <v>0</v>
      </c>
      <c r="J82" s="89">
        <f t="shared" si="3"/>
        <v>1441936</v>
      </c>
      <c r="K82" s="249"/>
    </row>
    <row r="83" spans="1:12" ht="15" x14ac:dyDescent="0.25">
      <c r="A83" s="116"/>
      <c r="B83" s="95" t="s">
        <v>204</v>
      </c>
      <c r="C83" s="89">
        <v>142163</v>
      </c>
      <c r="D83" s="89">
        <v>90249</v>
      </c>
      <c r="E83" s="89">
        <v>250721</v>
      </c>
      <c r="F83" s="89">
        <v>0</v>
      </c>
      <c r="G83" s="89">
        <v>0</v>
      </c>
      <c r="H83" s="89">
        <v>0</v>
      </c>
      <c r="I83" s="214">
        <v>0</v>
      </c>
      <c r="J83" s="89">
        <f t="shared" si="3"/>
        <v>483133</v>
      </c>
      <c r="K83" s="249"/>
    </row>
    <row r="84" spans="1:12" ht="15" hidden="1" x14ac:dyDescent="0.25">
      <c r="A84" s="116"/>
      <c r="B84" s="95" t="s">
        <v>205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214">
        <v>0</v>
      </c>
      <c r="J84" s="89">
        <f t="shared" si="3"/>
        <v>0</v>
      </c>
      <c r="K84" s="249"/>
    </row>
    <row r="85" spans="1:12" hidden="1" x14ac:dyDescent="0.2">
      <c r="A85" s="116"/>
      <c r="B85" s="95" t="s">
        <v>206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/>
      <c r="I85" s="214">
        <v>0</v>
      </c>
      <c r="J85" s="89">
        <f t="shared" si="3"/>
        <v>0</v>
      </c>
      <c r="K85" s="252"/>
    </row>
    <row r="86" spans="1:12" x14ac:dyDescent="0.2">
      <c r="A86" s="116"/>
      <c r="B86" s="95" t="s">
        <v>207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2524</v>
      </c>
      <c r="I86" s="214">
        <v>0</v>
      </c>
      <c r="J86" s="89">
        <f t="shared" si="3"/>
        <v>2524</v>
      </c>
      <c r="K86" s="252"/>
    </row>
    <row r="87" spans="1:12" ht="15" hidden="1" x14ac:dyDescent="0.25">
      <c r="A87" s="116"/>
      <c r="B87" s="95" t="s">
        <v>208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214">
        <v>0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209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214">
        <v>0</v>
      </c>
      <c r="J88" s="89">
        <f t="shared" si="3"/>
        <v>0</v>
      </c>
      <c r="K88" s="249"/>
    </row>
    <row r="89" spans="1:12" ht="15" hidden="1" x14ac:dyDescent="0.25">
      <c r="A89" s="116"/>
      <c r="B89" s="95" t="s">
        <v>210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214">
        <v>0</v>
      </c>
      <c r="J89" s="89">
        <f t="shared" si="3"/>
        <v>0</v>
      </c>
      <c r="K89" s="249"/>
      <c r="L89" s="77"/>
    </row>
    <row r="90" spans="1:12" ht="15" x14ac:dyDescent="0.25">
      <c r="A90" s="116"/>
      <c r="B90" s="95" t="s">
        <v>211</v>
      </c>
      <c r="C90" s="89">
        <v>121895</v>
      </c>
      <c r="D90" s="89">
        <v>30670</v>
      </c>
      <c r="E90" s="89">
        <v>215070</v>
      </c>
      <c r="F90" s="89">
        <v>0</v>
      </c>
      <c r="G90" s="89">
        <v>0</v>
      </c>
      <c r="H90" s="89">
        <v>174628</v>
      </c>
      <c r="I90" s="214">
        <v>0</v>
      </c>
      <c r="J90" s="89">
        <f t="shared" si="3"/>
        <v>542263</v>
      </c>
      <c r="K90" s="249"/>
      <c r="L90" s="77"/>
    </row>
    <row r="91" spans="1:12" ht="15" hidden="1" x14ac:dyDescent="0.25">
      <c r="A91" s="116"/>
      <c r="B91" s="95" t="s">
        <v>212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214">
        <v>0</v>
      </c>
      <c r="J91" s="89">
        <f t="shared" si="3"/>
        <v>0</v>
      </c>
      <c r="K91" s="249"/>
      <c r="L91" s="77"/>
    </row>
    <row r="92" spans="1:12" ht="15" x14ac:dyDescent="0.25">
      <c r="A92" s="116"/>
      <c r="B92" s="95" t="s">
        <v>213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31895</v>
      </c>
      <c r="I92" s="214">
        <v>886189</v>
      </c>
      <c r="J92" s="89">
        <f t="shared" si="3"/>
        <v>918084</v>
      </c>
      <c r="K92" s="249"/>
      <c r="L92" s="77"/>
    </row>
    <row r="93" spans="1:12" hidden="1" x14ac:dyDescent="0.2">
      <c r="A93" s="116"/>
      <c r="B93" s="95" t="s">
        <v>214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214">
        <v>0</v>
      </c>
      <c r="J93" s="89">
        <f t="shared" si="3"/>
        <v>0</v>
      </c>
      <c r="K93" s="252"/>
    </row>
    <row r="94" spans="1:12" hidden="1" x14ac:dyDescent="0.2">
      <c r="A94" s="116"/>
      <c r="B94" s="95" t="s">
        <v>215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214">
        <v>0</v>
      </c>
      <c r="J94" s="89">
        <f t="shared" si="3"/>
        <v>0</v>
      </c>
      <c r="K94" s="252"/>
    </row>
    <row r="95" spans="1:12" hidden="1" x14ac:dyDescent="0.2">
      <c r="A95" s="116"/>
      <c r="B95" s="95" t="s">
        <v>216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214">
        <v>0</v>
      </c>
      <c r="J95" s="89">
        <f t="shared" si="3"/>
        <v>0</v>
      </c>
      <c r="K95" s="252"/>
    </row>
    <row r="96" spans="1:12" hidden="1" x14ac:dyDescent="0.2">
      <c r="A96" s="116"/>
      <c r="B96" s="95" t="s">
        <v>217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214">
        <v>0</v>
      </c>
      <c r="J96" s="89">
        <f t="shared" si="3"/>
        <v>0</v>
      </c>
      <c r="K96" s="252"/>
    </row>
    <row r="97" spans="1:11" hidden="1" x14ac:dyDescent="0.2">
      <c r="A97" s="116"/>
      <c r="B97" s="95" t="s">
        <v>218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214">
        <v>0</v>
      </c>
      <c r="J97" s="89">
        <f t="shared" si="3"/>
        <v>0</v>
      </c>
      <c r="K97" s="252"/>
    </row>
    <row r="98" spans="1:11" x14ac:dyDescent="0.2">
      <c r="A98" s="116"/>
      <c r="B98" s="95" t="s">
        <v>219</v>
      </c>
      <c r="C98" s="89">
        <v>34522</v>
      </c>
      <c r="D98" s="89">
        <v>24278</v>
      </c>
      <c r="E98" s="89">
        <v>0</v>
      </c>
      <c r="F98" s="89">
        <v>0</v>
      </c>
      <c r="G98" s="89">
        <v>0</v>
      </c>
      <c r="H98" s="89"/>
      <c r="I98" s="214">
        <v>0</v>
      </c>
      <c r="J98" s="89">
        <f t="shared" si="3"/>
        <v>58800</v>
      </c>
      <c r="K98" s="252"/>
    </row>
    <row r="99" spans="1:11" ht="15" hidden="1" x14ac:dyDescent="0.25">
      <c r="A99" s="251"/>
      <c r="B99" s="100" t="s">
        <v>220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214">
        <v>0</v>
      </c>
      <c r="J99" s="89">
        <f t="shared" si="3"/>
        <v>0</v>
      </c>
      <c r="K99" s="249"/>
    </row>
    <row r="100" spans="1:11" ht="15" x14ac:dyDescent="0.25">
      <c r="A100" s="251"/>
      <c r="B100" s="100" t="s">
        <v>221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10000</v>
      </c>
      <c r="I100" s="214">
        <v>243177</v>
      </c>
      <c r="J100" s="89">
        <f t="shared" si="3"/>
        <v>253177</v>
      </c>
      <c r="K100" s="249"/>
    </row>
    <row r="101" spans="1:11" hidden="1" x14ac:dyDescent="0.2">
      <c r="A101" s="210" t="s">
        <v>10</v>
      </c>
      <c r="B101" s="211" t="s">
        <v>142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10</v>
      </c>
      <c r="B102" s="211" t="s">
        <v>141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hidden="1" x14ac:dyDescent="0.2">
      <c r="A103" s="210" t="s">
        <v>33</v>
      </c>
      <c r="B103" s="211" t="s">
        <v>222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0</v>
      </c>
      <c r="J103" s="89">
        <f t="shared" si="3"/>
        <v>0</v>
      </c>
      <c r="K103" s="255"/>
    </row>
    <row r="104" spans="1:11" hidden="1" x14ac:dyDescent="0.2">
      <c r="A104" s="210" t="s">
        <v>10</v>
      </c>
      <c r="B104" s="211" t="s">
        <v>138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214">
        <v>0</v>
      </c>
      <c r="J104" s="89">
        <f t="shared" si="3"/>
        <v>0</v>
      </c>
      <c r="K104" s="255"/>
    </row>
    <row r="105" spans="1:11" hidden="1" x14ac:dyDescent="0.2">
      <c r="A105" s="210" t="s">
        <v>10</v>
      </c>
      <c r="B105" s="211" t="s">
        <v>136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255"/>
    </row>
    <row r="106" spans="1:11" hidden="1" x14ac:dyDescent="0.2">
      <c r="A106" s="257"/>
      <c r="B106" s="95" t="s">
        <v>223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252"/>
    </row>
    <row r="107" spans="1:11" hidden="1" x14ac:dyDescent="0.2">
      <c r="A107" s="257"/>
      <c r="B107" s="95" t="s">
        <v>224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214">
        <v>0</v>
      </c>
      <c r="J107" s="89">
        <f t="shared" si="3"/>
        <v>0</v>
      </c>
      <c r="K107" s="252"/>
    </row>
    <row r="108" spans="1:11" hidden="1" x14ac:dyDescent="0.2">
      <c r="A108" s="257"/>
      <c r="B108" s="95" t="s">
        <v>225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252"/>
    </row>
    <row r="109" spans="1:11" hidden="1" x14ac:dyDescent="0.2">
      <c r="A109" s="257"/>
      <c r="B109" s="95" t="s">
        <v>226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0</v>
      </c>
      <c r="J109" s="89">
        <f t="shared" si="3"/>
        <v>0</v>
      </c>
      <c r="K109" s="252"/>
    </row>
    <row r="110" spans="1:11" ht="15" hidden="1" x14ac:dyDescent="0.25">
      <c r="A110" s="116"/>
      <c r="B110" s="95" t="s">
        <v>227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214">
        <v>0</v>
      </c>
      <c r="J110" s="89">
        <f t="shared" si="3"/>
        <v>0</v>
      </c>
      <c r="K110" s="249"/>
    </row>
    <row r="111" spans="1:11" ht="15" hidden="1" x14ac:dyDescent="0.25">
      <c r="A111" s="116"/>
      <c r="B111" s="95" t="s">
        <v>228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214">
        <v>0</v>
      </c>
      <c r="J111" s="89">
        <f t="shared" si="3"/>
        <v>0</v>
      </c>
      <c r="K111" s="249"/>
    </row>
    <row r="112" spans="1:11" ht="15" hidden="1" x14ac:dyDescent="0.25">
      <c r="A112" s="116"/>
      <c r="B112" s="95" t="s">
        <v>229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230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231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0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232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233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49"/>
    </row>
    <row r="117" spans="1:11" ht="15" hidden="1" x14ac:dyDescent="0.25">
      <c r="A117" s="116"/>
      <c r="B117" s="95" t="s">
        <v>234</v>
      </c>
      <c r="C117" s="89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214">
        <v>0</v>
      </c>
      <c r="J117" s="89">
        <f t="shared" si="3"/>
        <v>0</v>
      </c>
      <c r="K117" s="249"/>
    </row>
    <row r="118" spans="1:11" ht="15" x14ac:dyDescent="0.25">
      <c r="A118" s="116"/>
      <c r="B118" s="95" t="s">
        <v>9</v>
      </c>
      <c r="C118" s="89">
        <v>800380</v>
      </c>
      <c r="D118" s="89">
        <v>390060</v>
      </c>
      <c r="E118" s="89">
        <v>24254</v>
      </c>
      <c r="F118" s="89">
        <v>0</v>
      </c>
      <c r="G118" s="89">
        <v>0</v>
      </c>
      <c r="H118" s="89">
        <v>93957</v>
      </c>
      <c r="I118" s="214">
        <v>0</v>
      </c>
      <c r="J118" s="89">
        <f t="shared" si="3"/>
        <v>1308651</v>
      </c>
      <c r="K118" s="249"/>
    </row>
    <row r="119" spans="1:11" ht="15" hidden="1" x14ac:dyDescent="0.25">
      <c r="A119" s="116"/>
      <c r="B119" s="95" t="s">
        <v>235</v>
      </c>
      <c r="C119" s="89">
        <v>0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214">
        <v>0</v>
      </c>
      <c r="J119" s="89">
        <f t="shared" si="3"/>
        <v>0</v>
      </c>
      <c r="K119" s="249"/>
    </row>
    <row r="120" spans="1:11" ht="15" x14ac:dyDescent="0.25">
      <c r="A120" s="116"/>
      <c r="B120" s="95" t="s">
        <v>236</v>
      </c>
      <c r="C120" s="89">
        <v>337879.3</v>
      </c>
      <c r="D120" s="89">
        <v>163460.22</v>
      </c>
      <c r="E120" s="89">
        <v>533856.15</v>
      </c>
      <c r="F120" s="89">
        <v>0</v>
      </c>
      <c r="G120" s="89">
        <v>0</v>
      </c>
      <c r="H120" s="89">
        <v>0</v>
      </c>
      <c r="I120" s="214">
        <v>0</v>
      </c>
      <c r="J120" s="89">
        <f t="shared" si="3"/>
        <v>1035195.67</v>
      </c>
      <c r="K120" s="249"/>
    </row>
    <row r="121" spans="1:11" ht="15" hidden="1" x14ac:dyDescent="0.25">
      <c r="A121" s="116"/>
      <c r="B121" s="95" t="s">
        <v>237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214">
        <v>0</v>
      </c>
      <c r="J121" s="89">
        <f t="shared" si="3"/>
        <v>0</v>
      </c>
      <c r="K121" s="249"/>
    </row>
    <row r="122" spans="1:11" ht="15" hidden="1" x14ac:dyDescent="0.25">
      <c r="A122" s="116"/>
      <c r="B122" s="95" t="s">
        <v>238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251"/>
      <c r="B123" s="100" t="s">
        <v>239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0</v>
      </c>
      <c r="J123" s="89">
        <f t="shared" si="3"/>
        <v>0</v>
      </c>
      <c r="K123" s="249"/>
    </row>
    <row r="124" spans="1:11" ht="15" hidden="1" x14ac:dyDescent="0.25">
      <c r="A124" s="251"/>
      <c r="B124" s="100" t="s">
        <v>240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1"/>
      <c r="B125" s="100" t="s">
        <v>241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x14ac:dyDescent="0.25">
      <c r="A126" s="258"/>
      <c r="B126" s="244" t="s">
        <v>242</v>
      </c>
      <c r="C126" s="89">
        <v>0</v>
      </c>
      <c r="D126" s="89">
        <v>0</v>
      </c>
      <c r="E126" s="89"/>
      <c r="F126" s="89">
        <v>0</v>
      </c>
      <c r="G126" s="89">
        <v>0</v>
      </c>
      <c r="H126" s="89"/>
      <c r="I126" s="214">
        <v>21442</v>
      </c>
      <c r="J126" s="89">
        <f t="shared" si="3"/>
        <v>21442</v>
      </c>
      <c r="K126" s="249"/>
    </row>
    <row r="127" spans="1:11" ht="15" hidden="1" x14ac:dyDescent="0.25">
      <c r="A127" s="251"/>
      <c r="B127" s="100" t="s">
        <v>243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hidden="1" x14ac:dyDescent="0.25">
      <c r="A128" s="251"/>
      <c r="B128" s="100" t="s">
        <v>244</v>
      </c>
      <c r="C128" s="89">
        <v>0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214">
        <v>0</v>
      </c>
      <c r="J128" s="89">
        <f t="shared" si="3"/>
        <v>0</v>
      </c>
      <c r="K128" s="249"/>
    </row>
    <row r="129" spans="1:11" ht="15" x14ac:dyDescent="0.25">
      <c r="A129" s="260" t="s">
        <v>245</v>
      </c>
      <c r="B129" s="317"/>
      <c r="C129" s="89"/>
      <c r="D129" s="89"/>
      <c r="E129" s="89"/>
      <c r="F129" s="89"/>
      <c r="G129" s="89"/>
      <c r="H129" s="89"/>
      <c r="I129" s="214"/>
      <c r="J129" s="89"/>
      <c r="K129" s="249"/>
    </row>
    <row r="130" spans="1:11" ht="15" hidden="1" x14ac:dyDescent="0.25">
      <c r="A130" s="116"/>
      <c r="B130" s="95" t="s">
        <v>246</v>
      </c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214">
        <v>0</v>
      </c>
      <c r="J130" s="89">
        <f t="shared" si="3"/>
        <v>0</v>
      </c>
      <c r="K130" s="249"/>
    </row>
    <row r="131" spans="1:11" hidden="1" x14ac:dyDescent="0.2">
      <c r="A131" s="251"/>
      <c r="B131" s="100" t="s">
        <v>247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248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si="3"/>
        <v>0</v>
      </c>
      <c r="K132" s="252"/>
    </row>
    <row r="133" spans="1:11" x14ac:dyDescent="0.2">
      <c r="A133" s="116"/>
      <c r="B133" s="95" t="s">
        <v>249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1258578</v>
      </c>
      <c r="I133" s="214">
        <v>1820400</v>
      </c>
      <c r="J133" s="89">
        <f t="shared" ref="J133:J148" si="4">SUM(C133:I133)</f>
        <v>3078978</v>
      </c>
      <c r="K133" s="252"/>
    </row>
    <row r="134" spans="1:11" hidden="1" x14ac:dyDescent="0.2">
      <c r="A134" s="116"/>
      <c r="B134" s="95" t="s">
        <v>250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251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252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253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254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255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256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hidden="1" x14ac:dyDescent="0.2">
      <c r="A141" s="116"/>
      <c r="B141" s="95" t="s">
        <v>257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0</v>
      </c>
      <c r="J141" s="89">
        <f t="shared" si="4"/>
        <v>0</v>
      </c>
      <c r="K141" s="92"/>
    </row>
    <row r="142" spans="1:11" hidden="1" x14ac:dyDescent="0.2">
      <c r="A142" s="116"/>
      <c r="B142" s="95" t="s">
        <v>258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214">
        <v>0</v>
      </c>
      <c r="J142" s="89">
        <f t="shared" si="4"/>
        <v>0</v>
      </c>
      <c r="K142" s="92"/>
    </row>
    <row r="143" spans="1:11" hidden="1" x14ac:dyDescent="0.2">
      <c r="A143" s="116"/>
      <c r="B143" s="95" t="s">
        <v>259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214">
        <v>0</v>
      </c>
      <c r="J143" s="89">
        <f t="shared" si="4"/>
        <v>0</v>
      </c>
      <c r="K143" s="92"/>
    </row>
    <row r="144" spans="1:11" hidden="1" x14ac:dyDescent="0.2">
      <c r="A144" s="116"/>
      <c r="B144" s="95" t="s">
        <v>260</v>
      </c>
      <c r="C144" s="89">
        <v>0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  <c r="I144" s="214">
        <v>0</v>
      </c>
      <c r="J144" s="89">
        <f t="shared" si="4"/>
        <v>0</v>
      </c>
      <c r="K144" s="92"/>
    </row>
    <row r="145" spans="1:11" ht="15.75" thickBot="1" x14ac:dyDescent="0.3">
      <c r="A145" s="261" t="s">
        <v>456</v>
      </c>
      <c r="B145" s="262"/>
      <c r="C145" s="263">
        <f>SUM(C56:C144)</f>
        <v>1597579.3</v>
      </c>
      <c r="D145" s="263">
        <f t="shared" ref="D145:H145" si="5">SUM(D56:D144)</f>
        <v>756998.22</v>
      </c>
      <c r="E145" s="263">
        <f t="shared" si="5"/>
        <v>2799272.46</v>
      </c>
      <c r="F145" s="263">
        <f t="shared" si="5"/>
        <v>0</v>
      </c>
      <c r="G145" s="263">
        <f t="shared" si="5"/>
        <v>0</v>
      </c>
      <c r="H145" s="263">
        <f t="shared" si="5"/>
        <v>7966136</v>
      </c>
      <c r="I145" s="264">
        <f>SUM(I56:I144)</f>
        <v>3678586.45</v>
      </c>
      <c r="J145" s="265">
        <f t="shared" si="4"/>
        <v>16798572.43</v>
      </c>
      <c r="K145" s="266"/>
    </row>
    <row r="146" spans="1:11" ht="18.75" customHeight="1" thickBot="1" x14ac:dyDescent="0.3">
      <c r="A146" s="245" t="s">
        <v>457</v>
      </c>
      <c r="B146" s="246"/>
      <c r="C146" s="247">
        <f>C55+C145</f>
        <v>7380217.2999999998</v>
      </c>
      <c r="D146" s="247">
        <f t="shared" ref="D146:I146" si="6">D55+D145</f>
        <v>3594359.2199999997</v>
      </c>
      <c r="E146" s="247">
        <f t="shared" si="6"/>
        <v>6065971.46</v>
      </c>
      <c r="F146" s="247">
        <f t="shared" si="6"/>
        <v>2163639</v>
      </c>
      <c r="G146" s="247">
        <f t="shared" si="6"/>
        <v>300000</v>
      </c>
      <c r="H146" s="247">
        <f t="shared" si="6"/>
        <v>17477749</v>
      </c>
      <c r="I146" s="248">
        <f t="shared" si="6"/>
        <v>4140799.45</v>
      </c>
      <c r="J146" s="236">
        <f t="shared" si="4"/>
        <v>41122735.430000007</v>
      </c>
    </row>
    <row r="147" spans="1:11" ht="19.5" customHeight="1" x14ac:dyDescent="0.25">
      <c r="A147" s="267" t="s">
        <v>108</v>
      </c>
      <c r="B147" s="268" t="s">
        <v>458</v>
      </c>
      <c r="C147" s="269">
        <v>0</v>
      </c>
      <c r="D147" s="269">
        <v>0</v>
      </c>
      <c r="E147" s="269">
        <v>0</v>
      </c>
      <c r="F147" s="269">
        <v>-2163639</v>
      </c>
      <c r="G147" s="269">
        <v>0</v>
      </c>
      <c r="H147" s="269">
        <v>0</v>
      </c>
      <c r="I147" s="270">
        <v>0</v>
      </c>
      <c r="J147" s="144">
        <f t="shared" si="4"/>
        <v>-2163639</v>
      </c>
    </row>
    <row r="148" spans="1:11" ht="21.75" customHeight="1" thickBot="1" x14ac:dyDescent="0.3">
      <c r="A148" s="271" t="s">
        <v>459</v>
      </c>
      <c r="B148" s="103"/>
      <c r="C148" s="272">
        <f>C146+C147</f>
        <v>7380217.2999999998</v>
      </c>
      <c r="D148" s="272">
        <f t="shared" ref="D148:I148" si="7">D146+D147</f>
        <v>3594359.2199999997</v>
      </c>
      <c r="E148" s="272">
        <f t="shared" si="7"/>
        <v>6065971.46</v>
      </c>
      <c r="F148" s="272">
        <f t="shared" si="7"/>
        <v>0</v>
      </c>
      <c r="G148" s="272">
        <f t="shared" si="7"/>
        <v>300000</v>
      </c>
      <c r="H148" s="272">
        <f t="shared" si="7"/>
        <v>17477749</v>
      </c>
      <c r="I148" s="272">
        <f t="shared" si="7"/>
        <v>4140799.45</v>
      </c>
      <c r="J148" s="272">
        <f t="shared" si="4"/>
        <v>38959096.430000007</v>
      </c>
    </row>
    <row r="149" spans="1:11" ht="15" thickTop="1" x14ac:dyDescent="0.2">
      <c r="A149" s="273"/>
      <c r="B149" s="190"/>
      <c r="C149" s="274"/>
      <c r="D149" s="274"/>
      <c r="E149" s="274"/>
      <c r="F149" s="274"/>
      <c r="G149" s="274"/>
      <c r="H149" s="274"/>
      <c r="I149" s="274"/>
      <c r="J149" s="274"/>
    </row>
    <row r="150" spans="1:11" x14ac:dyDescent="0.2">
      <c r="A150" s="275"/>
      <c r="B150" s="191" t="str">
        <f>'PCFP - All Revenue AA-1 R-9'!C81</f>
        <v>Lander County</v>
      </c>
      <c r="C150" s="274" t="s">
        <v>428</v>
      </c>
      <c r="D150" s="274"/>
      <c r="E150" s="276"/>
      <c r="F150" s="276"/>
      <c r="G150" s="276"/>
      <c r="H150" s="274"/>
      <c r="J150" s="278" t="str">
        <f>"Budget Fiscal Year "&amp;TEXT('[9]Form 1'!$C$136, "mm/dd/yy")</f>
        <v>Budget Fiscal Year 2019-2020</v>
      </c>
    </row>
    <row r="151" spans="1:11" x14ac:dyDescent="0.2">
      <c r="A151" s="279"/>
      <c r="B151" s="193" t="s">
        <v>460</v>
      </c>
      <c r="C151" s="274" t="s">
        <v>430</v>
      </c>
      <c r="D151" s="274"/>
      <c r="E151" s="274"/>
      <c r="F151" s="274"/>
      <c r="G151" s="274"/>
      <c r="H151" s="274"/>
      <c r="J151" s="280" t="s">
        <v>461</v>
      </c>
    </row>
    <row r="152" spans="1:11" x14ac:dyDescent="0.2">
      <c r="H152" s="280"/>
      <c r="I152" s="280"/>
      <c r="J152" s="191"/>
    </row>
  </sheetData>
  <pageMargins left="0.55000000000000004" right="0" top="0.5" bottom="0.25" header="0.5" footer="0"/>
  <pageSetup scale="68" fitToHeight="3" orientation="landscape" r:id="rId1"/>
  <headerFooter alignWithMargins="0">
    <oddFooter>&amp;C&amp;8FORM 4405LGF
Last Revised 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38C8-42E2-4F57-8AF0-C62AC93E54C8}">
  <dimension ref="A2:I17"/>
  <sheetViews>
    <sheetView showGridLines="0" workbookViewId="0">
      <selection activeCell="A5" sqref="A5:XFD7"/>
    </sheetView>
  </sheetViews>
  <sheetFormatPr defaultRowHeight="12.75" x14ac:dyDescent="0.2"/>
  <sheetData>
    <row r="2" spans="1:9" ht="18" x14ac:dyDescent="0.25">
      <c r="A2" s="6" t="s">
        <v>666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A85AA-5157-4777-BCE1-AA285BA6F785}">
  <dimension ref="A1:Z196"/>
  <sheetViews>
    <sheetView showGridLines="0" zoomScale="85" zoomScaleNormal="85" workbookViewId="0">
      <pane xSplit="2" ySplit="3" topLeftCell="C23" activePane="bottomRight" state="frozen"/>
      <selection activeCell="A97" sqref="A97:L97"/>
      <selection pane="topRight" activeCell="A97" sqref="A97:L97"/>
      <selection pane="bottomLeft" activeCell="A97" sqref="A97:L97"/>
      <selection pane="bottomRight" activeCell="A32" sqref="A32:XFD32"/>
    </sheetView>
  </sheetViews>
  <sheetFormatPr defaultRowHeight="12.75" x14ac:dyDescent="0.2"/>
  <cols>
    <col min="1" max="1" width="5.140625" style="2" bestFit="1" customWidth="1"/>
    <col min="2" max="2" width="41.140625" bestFit="1" customWidth="1"/>
    <col min="3" max="3" width="17.7109375" style="12" bestFit="1" customWidth="1"/>
    <col min="4" max="4" width="14.85546875" style="12" bestFit="1" customWidth="1"/>
    <col min="5" max="5" width="12" style="12" bestFit="1" customWidth="1"/>
    <col min="6" max="6" width="16.28515625" style="12" bestFit="1" customWidth="1"/>
    <col min="7" max="7" width="11.140625" style="12" bestFit="1" customWidth="1"/>
    <col min="8" max="8" width="15.85546875" style="12" bestFit="1" customWidth="1"/>
    <col min="9" max="10" width="12.7109375" style="12" bestFit="1" customWidth="1"/>
    <col min="11" max="12" width="13.28515625" style="12" bestFit="1" customWidth="1"/>
    <col min="13" max="14" width="12.140625" style="12" bestFit="1" customWidth="1"/>
    <col min="15" max="15" width="10.5703125" style="12" bestFit="1" customWidth="1"/>
    <col min="16" max="17" width="13.28515625" style="12" bestFit="1" customWidth="1"/>
    <col min="18" max="18" width="12.7109375" style="12" bestFit="1" customWidth="1"/>
    <col min="19" max="20" width="13.28515625" style="12" bestFit="1" customWidth="1"/>
    <col min="21" max="21" width="15.140625" style="12" bestFit="1" customWidth="1"/>
    <col min="22" max="22" width="14.140625" style="12" bestFit="1" customWidth="1"/>
    <col min="23" max="23" width="32.5703125" style="12" customWidth="1"/>
    <col min="24" max="24" width="19.28515625" bestFit="1" customWidth="1"/>
    <col min="25" max="25" width="16.7109375" hidden="1" customWidth="1"/>
    <col min="26" max="26" width="18.28515625" hidden="1" customWidth="1"/>
  </cols>
  <sheetData>
    <row r="1" spans="1:26" s="8" customFormat="1" ht="18" x14ac:dyDescent="0.25">
      <c r="B1" s="34" t="s">
        <v>261</v>
      </c>
      <c r="C1" s="35" t="s">
        <v>118</v>
      </c>
      <c r="D1" s="35" t="s">
        <v>119</v>
      </c>
      <c r="E1" s="34" t="s">
        <v>262</v>
      </c>
      <c r="F1" s="36">
        <v>149030525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6" x14ac:dyDescent="0.2">
      <c r="F2" s="19"/>
    </row>
    <row r="3" spans="1:26" s="15" customFormat="1" ht="38.25" x14ac:dyDescent="0.2">
      <c r="A3" s="13"/>
      <c r="B3" s="13" t="s">
        <v>120</v>
      </c>
      <c r="C3" s="14" t="s">
        <v>263</v>
      </c>
      <c r="D3" s="14" t="s">
        <v>173</v>
      </c>
      <c r="E3" s="14" t="s">
        <v>264</v>
      </c>
      <c r="F3" s="14" t="s">
        <v>191</v>
      </c>
      <c r="G3" s="14" t="s">
        <v>145</v>
      </c>
      <c r="H3" s="14" t="s">
        <v>265</v>
      </c>
      <c r="I3" s="14" t="s">
        <v>236</v>
      </c>
      <c r="J3" s="14" t="s">
        <v>9</v>
      </c>
      <c r="K3" s="14" t="s">
        <v>208</v>
      </c>
      <c r="L3" s="14" t="s">
        <v>266</v>
      </c>
      <c r="M3" s="14" t="s">
        <v>143</v>
      </c>
      <c r="N3" s="14" t="s">
        <v>204</v>
      </c>
      <c r="O3" s="14" t="s">
        <v>267</v>
      </c>
      <c r="P3" s="14" t="s">
        <v>206</v>
      </c>
      <c r="Q3" s="14" t="s">
        <v>188</v>
      </c>
      <c r="R3" s="14" t="s">
        <v>268</v>
      </c>
      <c r="S3" s="14" t="s">
        <v>269</v>
      </c>
      <c r="T3" s="14" t="s">
        <v>270</v>
      </c>
      <c r="U3" s="14" t="s">
        <v>271</v>
      </c>
      <c r="V3" s="14" t="s">
        <v>272</v>
      </c>
      <c r="W3" s="13" t="s">
        <v>273</v>
      </c>
    </row>
    <row r="4" spans="1:26" x14ac:dyDescent="0.2">
      <c r="B4" s="3"/>
      <c r="W4"/>
      <c r="Y4" s="17">
        <f>SUM(Y5:Y9)</f>
        <v>41730071</v>
      </c>
    </row>
    <row r="5" spans="1:26" s="37" customFormat="1" x14ac:dyDescent="0.2">
      <c r="B5" s="37" t="s">
        <v>274</v>
      </c>
      <c r="C5" s="915">
        <v>10873508</v>
      </c>
      <c r="D5" s="915">
        <v>6541155</v>
      </c>
      <c r="E5" s="915">
        <v>0</v>
      </c>
      <c r="F5" s="915">
        <v>0</v>
      </c>
      <c r="G5" s="915">
        <v>0</v>
      </c>
      <c r="H5" s="915">
        <v>0</v>
      </c>
      <c r="I5" s="915">
        <v>0</v>
      </c>
      <c r="J5" s="915">
        <v>0</v>
      </c>
      <c r="K5" s="915">
        <v>0</v>
      </c>
      <c r="L5" s="915">
        <v>0</v>
      </c>
      <c r="M5" s="915">
        <v>0</v>
      </c>
      <c r="N5" s="915">
        <v>0</v>
      </c>
      <c r="O5" s="915">
        <v>0</v>
      </c>
      <c r="P5" s="915">
        <v>0</v>
      </c>
      <c r="Q5" s="915">
        <v>0</v>
      </c>
      <c r="R5" s="915">
        <v>0</v>
      </c>
      <c r="S5" s="915">
        <v>0</v>
      </c>
      <c r="T5" s="915">
        <v>0</v>
      </c>
      <c r="U5" s="915">
        <v>0</v>
      </c>
      <c r="V5" s="915">
        <v>0</v>
      </c>
      <c r="W5" s="915" t="str">
        <f>B5</f>
        <v>Property Taxes</v>
      </c>
      <c r="X5" s="38">
        <f t="shared" ref="X5:X21" si="0">SUM(C5:V5)</f>
        <v>17414663</v>
      </c>
      <c r="Y5" s="38">
        <f>X5-D5</f>
        <v>10873508</v>
      </c>
      <c r="Z5" s="37" t="s">
        <v>275</v>
      </c>
    </row>
    <row r="6" spans="1:26" s="37" customFormat="1" x14ac:dyDescent="0.2">
      <c r="B6" s="37" t="s">
        <v>276</v>
      </c>
      <c r="C6" s="915">
        <v>28174191</v>
      </c>
      <c r="D6" s="915">
        <v>0</v>
      </c>
      <c r="E6" s="915">
        <v>0</v>
      </c>
      <c r="F6" s="915">
        <v>0</v>
      </c>
      <c r="G6" s="915">
        <v>0</v>
      </c>
      <c r="H6" s="915">
        <v>0</v>
      </c>
      <c r="I6" s="915">
        <v>0</v>
      </c>
      <c r="J6" s="915">
        <v>0</v>
      </c>
      <c r="K6" s="915">
        <v>0</v>
      </c>
      <c r="L6" s="915">
        <v>0</v>
      </c>
      <c r="M6" s="915">
        <v>0</v>
      </c>
      <c r="N6" s="915">
        <v>0</v>
      </c>
      <c r="O6" s="915">
        <v>0</v>
      </c>
      <c r="P6" s="915">
        <v>0</v>
      </c>
      <c r="Q6" s="915">
        <v>0</v>
      </c>
      <c r="R6" s="915">
        <v>0</v>
      </c>
      <c r="S6" s="915">
        <v>0</v>
      </c>
      <c r="T6" s="915">
        <v>0</v>
      </c>
      <c r="U6" s="915">
        <v>0</v>
      </c>
      <c r="V6" s="915">
        <v>0</v>
      </c>
      <c r="W6" s="915" t="str">
        <f t="shared" ref="W6:W22" si="1">B6</f>
        <v>School Support Taxes</v>
      </c>
      <c r="X6" s="38">
        <f t="shared" si="0"/>
        <v>28174191</v>
      </c>
      <c r="Y6" s="38">
        <f>X6</f>
        <v>28174191</v>
      </c>
      <c r="Z6" s="37" t="s">
        <v>275</v>
      </c>
    </row>
    <row r="7" spans="1:26" s="37" customFormat="1" hidden="1" x14ac:dyDescent="0.2">
      <c r="B7" s="37" t="s">
        <v>227</v>
      </c>
      <c r="C7" s="915">
        <v>0</v>
      </c>
      <c r="D7" s="915">
        <v>0</v>
      </c>
      <c r="E7" s="915">
        <v>0</v>
      </c>
      <c r="F7" s="915">
        <v>0</v>
      </c>
      <c r="G7" s="915">
        <v>0</v>
      </c>
      <c r="H7" s="915">
        <v>0</v>
      </c>
      <c r="I7" s="915">
        <v>0</v>
      </c>
      <c r="J7" s="915">
        <v>0</v>
      </c>
      <c r="K7" s="915">
        <v>0</v>
      </c>
      <c r="L7" s="915">
        <v>0</v>
      </c>
      <c r="M7" s="915">
        <v>0</v>
      </c>
      <c r="N7" s="915">
        <v>0</v>
      </c>
      <c r="O7" s="915">
        <v>0</v>
      </c>
      <c r="P7" s="915">
        <v>0</v>
      </c>
      <c r="Q7" s="915">
        <v>0</v>
      </c>
      <c r="R7" s="915">
        <v>0</v>
      </c>
      <c r="S7" s="915">
        <v>0</v>
      </c>
      <c r="T7" s="915">
        <v>0</v>
      </c>
      <c r="U7" s="915">
        <v>0</v>
      </c>
      <c r="V7" s="915">
        <v>0</v>
      </c>
      <c r="W7" s="915" t="str">
        <f t="shared" si="1"/>
        <v>Residential Construction Tax</v>
      </c>
      <c r="X7" s="38">
        <f t="shared" si="0"/>
        <v>0</v>
      </c>
    </row>
    <row r="8" spans="1:26" s="37" customFormat="1" x14ac:dyDescent="0.2">
      <c r="B8" s="37" t="s">
        <v>277</v>
      </c>
      <c r="C8" s="915">
        <v>180000</v>
      </c>
      <c r="D8" s="915">
        <v>0</v>
      </c>
      <c r="E8" s="915">
        <v>0</v>
      </c>
      <c r="F8" s="915">
        <v>0</v>
      </c>
      <c r="G8" s="915">
        <v>0</v>
      </c>
      <c r="H8" s="915">
        <v>0</v>
      </c>
      <c r="I8" s="915">
        <v>0</v>
      </c>
      <c r="J8" s="915">
        <v>0</v>
      </c>
      <c r="K8" s="915">
        <v>0</v>
      </c>
      <c r="L8" s="915">
        <v>0</v>
      </c>
      <c r="M8" s="915">
        <v>0</v>
      </c>
      <c r="N8" s="915">
        <v>0</v>
      </c>
      <c r="O8" s="915">
        <v>0</v>
      </c>
      <c r="P8" s="915">
        <v>0</v>
      </c>
      <c r="Q8" s="915">
        <v>0</v>
      </c>
      <c r="R8" s="915">
        <v>0</v>
      </c>
      <c r="S8" s="915">
        <v>0</v>
      </c>
      <c r="T8" s="915">
        <v>0</v>
      </c>
      <c r="U8" s="915">
        <v>0</v>
      </c>
      <c r="V8" s="915">
        <v>0</v>
      </c>
      <c r="W8" s="915" t="str">
        <f t="shared" si="1"/>
        <v>Franchise Taxes</v>
      </c>
      <c r="X8" s="38">
        <f t="shared" si="0"/>
        <v>180000</v>
      </c>
      <c r="Y8" s="38">
        <f>X8</f>
        <v>180000</v>
      </c>
      <c r="Z8" s="37" t="s">
        <v>275</v>
      </c>
    </row>
    <row r="9" spans="1:26" s="37" customFormat="1" x14ac:dyDescent="0.2">
      <c r="B9" s="37" t="s">
        <v>278</v>
      </c>
      <c r="C9" s="915">
        <v>2502372</v>
      </c>
      <c r="D9" s="915">
        <v>0</v>
      </c>
      <c r="E9" s="915">
        <v>0</v>
      </c>
      <c r="F9" s="915">
        <v>0</v>
      </c>
      <c r="G9" s="915">
        <v>0</v>
      </c>
      <c r="H9" s="915">
        <v>0</v>
      </c>
      <c r="I9" s="915">
        <v>0</v>
      </c>
      <c r="J9" s="915">
        <v>0</v>
      </c>
      <c r="K9" s="915">
        <v>0</v>
      </c>
      <c r="L9" s="915">
        <v>0</v>
      </c>
      <c r="M9" s="915">
        <v>0</v>
      </c>
      <c r="N9" s="915">
        <v>0</v>
      </c>
      <c r="O9" s="915">
        <v>0</v>
      </c>
      <c r="P9" s="915">
        <v>0</v>
      </c>
      <c r="Q9" s="915">
        <v>717347</v>
      </c>
      <c r="R9" s="915">
        <v>0</v>
      </c>
      <c r="S9" s="915">
        <v>0</v>
      </c>
      <c r="T9" s="915">
        <v>0</v>
      </c>
      <c r="U9" s="915">
        <v>0</v>
      </c>
      <c r="V9" s="915">
        <v>0</v>
      </c>
      <c r="W9" s="915" t="str">
        <f t="shared" si="1"/>
        <v>Governmental Services Tax</v>
      </c>
      <c r="X9" s="38">
        <f t="shared" si="0"/>
        <v>3219719</v>
      </c>
      <c r="Y9" s="38">
        <f>X9-Q9</f>
        <v>2502372</v>
      </c>
      <c r="Z9" s="37" t="s">
        <v>279</v>
      </c>
    </row>
    <row r="10" spans="1:26" s="37" customFormat="1" x14ac:dyDescent="0.2">
      <c r="B10" s="37" t="s">
        <v>280</v>
      </c>
      <c r="C10" s="915">
        <v>0</v>
      </c>
      <c r="D10" s="915">
        <v>0</v>
      </c>
      <c r="E10" s="915">
        <v>0</v>
      </c>
      <c r="F10" s="915">
        <v>0</v>
      </c>
      <c r="G10" s="915">
        <v>0</v>
      </c>
      <c r="H10" s="915">
        <v>0</v>
      </c>
      <c r="I10" s="915">
        <v>0</v>
      </c>
      <c r="J10" s="915">
        <v>0</v>
      </c>
      <c r="K10" s="915">
        <v>0</v>
      </c>
      <c r="L10" s="915">
        <v>0</v>
      </c>
      <c r="M10" s="915">
        <v>0</v>
      </c>
      <c r="N10" s="915">
        <v>0</v>
      </c>
      <c r="O10" s="915">
        <v>0</v>
      </c>
      <c r="P10" s="915">
        <v>0</v>
      </c>
      <c r="Q10" s="915">
        <v>0</v>
      </c>
      <c r="R10" s="915">
        <v>0</v>
      </c>
      <c r="S10" s="915">
        <v>995710</v>
      </c>
      <c r="T10" s="915">
        <v>304836</v>
      </c>
      <c r="U10" s="915">
        <v>25403</v>
      </c>
      <c r="V10" s="915">
        <v>0</v>
      </c>
      <c r="W10" s="915" t="str">
        <f t="shared" si="1"/>
        <v>Other Revenues</v>
      </c>
      <c r="X10" s="38">
        <f t="shared" si="0"/>
        <v>1325949</v>
      </c>
    </row>
    <row r="11" spans="1:26" s="37" customFormat="1" x14ac:dyDescent="0.2">
      <c r="B11" s="37" t="s">
        <v>281</v>
      </c>
      <c r="C11" s="915">
        <v>26000</v>
      </c>
      <c r="D11" s="915">
        <v>0</v>
      </c>
      <c r="E11" s="915">
        <v>0</v>
      </c>
      <c r="F11" s="915">
        <v>0</v>
      </c>
      <c r="G11" s="915">
        <v>0</v>
      </c>
      <c r="H11" s="915">
        <v>0</v>
      </c>
      <c r="I11" s="915">
        <v>0</v>
      </c>
      <c r="J11" s="915">
        <v>0</v>
      </c>
      <c r="K11" s="915">
        <v>0</v>
      </c>
      <c r="L11" s="915">
        <v>0</v>
      </c>
      <c r="M11" s="915">
        <v>0</v>
      </c>
      <c r="N11" s="915">
        <v>0</v>
      </c>
      <c r="O11" s="915">
        <v>0</v>
      </c>
      <c r="P11" s="915">
        <v>0</v>
      </c>
      <c r="Q11" s="915">
        <v>0</v>
      </c>
      <c r="R11" s="915">
        <v>0</v>
      </c>
      <c r="S11" s="915">
        <v>0</v>
      </c>
      <c r="T11" s="915">
        <v>0</v>
      </c>
      <c r="U11" s="915">
        <v>0</v>
      </c>
      <c r="V11" s="915">
        <v>0</v>
      </c>
      <c r="W11" s="915" t="str">
        <f t="shared" si="1"/>
        <v>Boat Registration</v>
      </c>
      <c r="X11" s="38">
        <f t="shared" si="0"/>
        <v>26000</v>
      </c>
    </row>
    <row r="12" spans="1:26" s="37" customFormat="1" hidden="1" x14ac:dyDescent="0.2">
      <c r="B12" s="37" t="s">
        <v>227</v>
      </c>
      <c r="C12" s="915">
        <v>0</v>
      </c>
      <c r="D12" s="915">
        <v>0</v>
      </c>
      <c r="E12" s="915">
        <v>0</v>
      </c>
      <c r="F12" s="915">
        <v>0</v>
      </c>
      <c r="G12" s="915">
        <v>0</v>
      </c>
      <c r="H12" s="915">
        <v>0</v>
      </c>
      <c r="I12" s="915">
        <v>0</v>
      </c>
      <c r="J12" s="915">
        <v>0</v>
      </c>
      <c r="K12" s="915">
        <v>0</v>
      </c>
      <c r="L12" s="915">
        <v>0</v>
      </c>
      <c r="M12" s="915">
        <v>0</v>
      </c>
      <c r="N12" s="915">
        <v>0</v>
      </c>
      <c r="O12" s="915">
        <v>0</v>
      </c>
      <c r="P12" s="915">
        <v>0</v>
      </c>
      <c r="Q12" s="915">
        <v>0</v>
      </c>
      <c r="R12" s="915">
        <v>0</v>
      </c>
      <c r="S12" s="915">
        <v>0</v>
      </c>
      <c r="T12" s="915">
        <v>0</v>
      </c>
      <c r="U12" s="915">
        <v>0</v>
      </c>
      <c r="V12" s="915">
        <v>0</v>
      </c>
      <c r="W12" s="915" t="str">
        <f t="shared" si="1"/>
        <v>Residential Construction Tax</v>
      </c>
      <c r="X12" s="38">
        <f t="shared" si="0"/>
        <v>0</v>
      </c>
    </row>
    <row r="13" spans="1:26" s="37" customFormat="1" x14ac:dyDescent="0.2">
      <c r="B13" s="37" t="s">
        <v>282</v>
      </c>
      <c r="C13" s="915">
        <v>5100</v>
      </c>
      <c r="D13" s="915">
        <v>0</v>
      </c>
      <c r="E13" s="915">
        <v>0</v>
      </c>
      <c r="F13" s="915">
        <v>0</v>
      </c>
      <c r="G13" s="915">
        <v>0</v>
      </c>
      <c r="H13" s="915">
        <v>0</v>
      </c>
      <c r="I13" s="915">
        <v>0</v>
      </c>
      <c r="J13" s="915">
        <v>0</v>
      </c>
      <c r="K13" s="915">
        <v>0</v>
      </c>
      <c r="L13" s="915">
        <v>0</v>
      </c>
      <c r="M13" s="915">
        <v>0</v>
      </c>
      <c r="N13" s="915">
        <v>0</v>
      </c>
      <c r="O13" s="915">
        <v>0</v>
      </c>
      <c r="P13" s="915">
        <v>0</v>
      </c>
      <c r="Q13" s="915">
        <v>0</v>
      </c>
      <c r="R13" s="915">
        <v>0</v>
      </c>
      <c r="S13" s="915">
        <v>0</v>
      </c>
      <c r="T13" s="915">
        <v>0</v>
      </c>
      <c r="U13" s="915">
        <v>0</v>
      </c>
      <c r="V13" s="915">
        <v>0</v>
      </c>
      <c r="W13" s="915" t="str">
        <f t="shared" si="1"/>
        <v>Tuition</v>
      </c>
      <c r="X13" s="38">
        <f t="shared" si="0"/>
        <v>5100</v>
      </c>
    </row>
    <row r="14" spans="1:26" s="37" customFormat="1" x14ac:dyDescent="0.2">
      <c r="B14" s="37" t="s">
        <v>143</v>
      </c>
      <c r="C14" s="915">
        <v>0</v>
      </c>
      <c r="D14" s="915">
        <v>0</v>
      </c>
      <c r="E14" s="915">
        <v>0</v>
      </c>
      <c r="F14" s="915">
        <v>0</v>
      </c>
      <c r="G14" s="915">
        <v>0</v>
      </c>
      <c r="H14" s="915">
        <v>0</v>
      </c>
      <c r="I14" s="915">
        <v>0</v>
      </c>
      <c r="J14" s="915">
        <v>0</v>
      </c>
      <c r="K14" s="915">
        <v>0</v>
      </c>
      <c r="L14" s="915">
        <v>0</v>
      </c>
      <c r="M14" s="915">
        <v>25000</v>
      </c>
      <c r="N14" s="915">
        <v>0</v>
      </c>
      <c r="O14" s="915">
        <v>0</v>
      </c>
      <c r="P14" s="915">
        <v>0</v>
      </c>
      <c r="Q14" s="915">
        <v>0</v>
      </c>
      <c r="R14" s="915">
        <v>0</v>
      </c>
      <c r="S14" s="915">
        <v>0</v>
      </c>
      <c r="T14" s="915">
        <v>0</v>
      </c>
      <c r="U14" s="915">
        <v>0</v>
      </c>
      <c r="V14" s="915">
        <v>0</v>
      </c>
      <c r="W14" s="915" t="str">
        <f t="shared" si="1"/>
        <v>Summer School</v>
      </c>
      <c r="X14" s="38">
        <f t="shared" si="0"/>
        <v>25000</v>
      </c>
    </row>
    <row r="15" spans="1:26" s="37" customFormat="1" x14ac:dyDescent="0.2">
      <c r="B15" s="37" t="s">
        <v>283</v>
      </c>
      <c r="C15" s="915">
        <v>150000</v>
      </c>
      <c r="D15" s="915">
        <v>0</v>
      </c>
      <c r="E15" s="915">
        <v>0</v>
      </c>
      <c r="F15" s="915">
        <v>0</v>
      </c>
      <c r="G15" s="915">
        <v>0</v>
      </c>
      <c r="H15" s="915">
        <v>0</v>
      </c>
      <c r="I15" s="915">
        <v>0</v>
      </c>
      <c r="J15" s="915">
        <v>0</v>
      </c>
      <c r="K15" s="915">
        <v>0</v>
      </c>
      <c r="L15" s="915">
        <v>0</v>
      </c>
      <c r="M15" s="915">
        <v>0</v>
      </c>
      <c r="N15" s="915">
        <v>0</v>
      </c>
      <c r="O15" s="915">
        <v>0</v>
      </c>
      <c r="P15" s="915">
        <v>0</v>
      </c>
      <c r="Q15" s="915">
        <v>0</v>
      </c>
      <c r="R15" s="915">
        <v>0</v>
      </c>
      <c r="S15" s="915">
        <v>0</v>
      </c>
      <c r="T15" s="915">
        <v>0</v>
      </c>
      <c r="U15" s="915">
        <v>0</v>
      </c>
      <c r="V15" s="915">
        <v>0</v>
      </c>
      <c r="W15" s="915" t="str">
        <f t="shared" si="1"/>
        <v>Transportation Fees</v>
      </c>
      <c r="X15" s="38">
        <f t="shared" si="0"/>
        <v>150000</v>
      </c>
    </row>
    <row r="16" spans="1:26" s="37" customFormat="1" x14ac:dyDescent="0.2">
      <c r="B16" s="37" t="s">
        <v>284</v>
      </c>
      <c r="C16" s="915">
        <v>100000</v>
      </c>
      <c r="D16" s="915">
        <v>100000</v>
      </c>
      <c r="E16" s="915">
        <v>0</v>
      </c>
      <c r="F16" s="915">
        <v>0</v>
      </c>
      <c r="G16" s="915">
        <v>0</v>
      </c>
      <c r="H16" s="915">
        <v>0</v>
      </c>
      <c r="I16" s="915">
        <v>0</v>
      </c>
      <c r="J16" s="915">
        <v>0</v>
      </c>
      <c r="K16" s="915">
        <v>0</v>
      </c>
      <c r="L16" s="915">
        <v>0</v>
      </c>
      <c r="M16" s="915">
        <v>0</v>
      </c>
      <c r="N16" s="915">
        <v>0</v>
      </c>
      <c r="O16" s="915">
        <v>0</v>
      </c>
      <c r="P16" s="915">
        <v>0</v>
      </c>
      <c r="Q16" s="915">
        <v>0</v>
      </c>
      <c r="R16" s="915">
        <v>0</v>
      </c>
      <c r="S16" s="915">
        <v>0</v>
      </c>
      <c r="T16" s="915">
        <v>0</v>
      </c>
      <c r="U16" s="915">
        <v>0</v>
      </c>
      <c r="V16" s="915">
        <v>0</v>
      </c>
      <c r="W16" s="915" t="str">
        <f t="shared" si="1"/>
        <v>Earnings on Investments</v>
      </c>
      <c r="X16" s="38">
        <f t="shared" si="0"/>
        <v>200000</v>
      </c>
    </row>
    <row r="17" spans="2:24" s="37" customFormat="1" x14ac:dyDescent="0.2">
      <c r="B17" s="37" t="s">
        <v>285</v>
      </c>
      <c r="C17" s="915">
        <v>60000</v>
      </c>
      <c r="D17" s="915">
        <v>0</v>
      </c>
      <c r="E17" s="915">
        <v>0</v>
      </c>
      <c r="F17" s="915">
        <v>0</v>
      </c>
      <c r="G17" s="915">
        <v>0</v>
      </c>
      <c r="H17" s="915">
        <v>0</v>
      </c>
      <c r="I17" s="915">
        <v>0</v>
      </c>
      <c r="J17" s="915">
        <v>0</v>
      </c>
      <c r="K17" s="915">
        <v>0</v>
      </c>
      <c r="L17" s="915">
        <v>0</v>
      </c>
      <c r="M17" s="915">
        <v>0</v>
      </c>
      <c r="N17" s="915">
        <v>0</v>
      </c>
      <c r="O17" s="915">
        <v>0</v>
      </c>
      <c r="P17" s="915">
        <v>0</v>
      </c>
      <c r="Q17" s="915">
        <v>0</v>
      </c>
      <c r="R17" s="915">
        <v>0</v>
      </c>
      <c r="S17" s="915">
        <v>0</v>
      </c>
      <c r="T17" s="915">
        <v>0</v>
      </c>
      <c r="U17" s="915">
        <v>0</v>
      </c>
      <c r="V17" s="915">
        <v>0</v>
      </c>
      <c r="W17" s="915" t="str">
        <f t="shared" si="1"/>
        <v>Direct Activities Revenue</v>
      </c>
      <c r="X17" s="38">
        <f t="shared" si="0"/>
        <v>60000</v>
      </c>
    </row>
    <row r="18" spans="2:24" s="37" customFormat="1" x14ac:dyDescent="0.2">
      <c r="B18" s="37" t="s">
        <v>286</v>
      </c>
      <c r="C18" s="915">
        <v>0</v>
      </c>
      <c r="D18" s="915">
        <v>0</v>
      </c>
      <c r="E18" s="915">
        <v>0</v>
      </c>
      <c r="F18" s="915">
        <v>0</v>
      </c>
      <c r="G18" s="915">
        <v>0</v>
      </c>
      <c r="H18" s="915">
        <v>0</v>
      </c>
      <c r="I18" s="915">
        <v>0</v>
      </c>
      <c r="J18" s="915">
        <v>0</v>
      </c>
      <c r="K18" s="915">
        <v>0</v>
      </c>
      <c r="L18" s="915">
        <v>0</v>
      </c>
      <c r="M18" s="915">
        <v>0</v>
      </c>
      <c r="N18" s="915">
        <v>0</v>
      </c>
      <c r="O18" s="915">
        <v>0</v>
      </c>
      <c r="P18" s="915">
        <f>355000+45000+50000+1000+2000+2000</f>
        <v>455000</v>
      </c>
      <c r="Q18" s="915">
        <v>0</v>
      </c>
      <c r="R18" s="915">
        <v>0</v>
      </c>
      <c r="S18" s="915">
        <v>0</v>
      </c>
      <c r="T18" s="915">
        <v>0</v>
      </c>
      <c r="U18" s="915">
        <v>0</v>
      </c>
      <c r="V18" s="915">
        <v>-305000</v>
      </c>
      <c r="W18" s="915" t="str">
        <f t="shared" si="1"/>
        <v>Daily Sales - Food Services</v>
      </c>
      <c r="X18" s="38">
        <f t="shared" si="0"/>
        <v>150000</v>
      </c>
    </row>
    <row r="19" spans="2:24" s="37" customFormat="1" hidden="1" x14ac:dyDescent="0.2">
      <c r="B19" s="37" t="s">
        <v>287</v>
      </c>
      <c r="C19" s="915">
        <v>0</v>
      </c>
      <c r="D19" s="915">
        <v>0</v>
      </c>
      <c r="E19" s="915">
        <v>0</v>
      </c>
      <c r="F19" s="915">
        <v>0</v>
      </c>
      <c r="G19" s="915">
        <v>0</v>
      </c>
      <c r="H19" s="915">
        <v>0</v>
      </c>
      <c r="I19" s="915">
        <v>0</v>
      </c>
      <c r="J19" s="915">
        <v>0</v>
      </c>
      <c r="K19" s="915">
        <v>0</v>
      </c>
      <c r="L19" s="915">
        <v>0</v>
      </c>
      <c r="M19" s="915">
        <v>0</v>
      </c>
      <c r="N19" s="915">
        <v>0</v>
      </c>
      <c r="O19" s="915">
        <v>0</v>
      </c>
      <c r="P19" s="915">
        <v>0</v>
      </c>
      <c r="Q19" s="915">
        <v>0</v>
      </c>
      <c r="R19" s="915">
        <v>0</v>
      </c>
      <c r="S19" s="915">
        <v>0</v>
      </c>
      <c r="T19" s="915">
        <v>0</v>
      </c>
      <c r="U19" s="915">
        <v>0</v>
      </c>
      <c r="V19" s="915">
        <v>0</v>
      </c>
      <c r="W19" s="915" t="str">
        <f t="shared" si="1"/>
        <v>Rentals</v>
      </c>
      <c r="X19" s="38">
        <f t="shared" si="0"/>
        <v>0</v>
      </c>
    </row>
    <row r="20" spans="2:24" s="37" customFormat="1" x14ac:dyDescent="0.2">
      <c r="B20" s="37" t="s">
        <v>288</v>
      </c>
      <c r="C20" s="915">
        <v>0</v>
      </c>
      <c r="D20" s="915">
        <v>0</v>
      </c>
      <c r="E20" s="915">
        <v>0</v>
      </c>
      <c r="F20" s="915">
        <v>0</v>
      </c>
      <c r="G20" s="915">
        <v>0</v>
      </c>
      <c r="H20" s="915">
        <v>0</v>
      </c>
      <c r="I20" s="915">
        <v>0</v>
      </c>
      <c r="J20" s="915">
        <v>0</v>
      </c>
      <c r="K20" s="915">
        <v>200000</v>
      </c>
      <c r="L20" s="915">
        <v>0</v>
      </c>
      <c r="M20" s="915">
        <v>0</v>
      </c>
      <c r="N20" s="915">
        <v>0</v>
      </c>
      <c r="O20" s="915">
        <v>0</v>
      </c>
      <c r="P20" s="915">
        <v>0</v>
      </c>
      <c r="Q20" s="915">
        <v>0</v>
      </c>
      <c r="R20" s="915">
        <v>0</v>
      </c>
      <c r="S20" s="915">
        <v>0</v>
      </c>
      <c r="T20" s="915">
        <v>0</v>
      </c>
      <c r="U20" s="915">
        <v>0</v>
      </c>
      <c r="V20" s="915">
        <v>0</v>
      </c>
      <c r="W20" s="915" t="str">
        <f t="shared" si="1"/>
        <v>Donations</v>
      </c>
      <c r="X20" s="38">
        <f t="shared" si="0"/>
        <v>200000</v>
      </c>
    </row>
    <row r="21" spans="2:24" s="37" customFormat="1" x14ac:dyDescent="0.2">
      <c r="B21" s="37" t="s">
        <v>289</v>
      </c>
      <c r="C21" s="915">
        <v>150000</v>
      </c>
      <c r="D21" s="915">
        <v>303770</v>
      </c>
      <c r="E21" s="915">
        <v>0</v>
      </c>
      <c r="F21" s="915">
        <v>0</v>
      </c>
      <c r="G21" s="915">
        <v>2000</v>
      </c>
      <c r="H21" s="915">
        <v>0</v>
      </c>
      <c r="I21" s="915">
        <v>0</v>
      </c>
      <c r="J21" s="915">
        <v>0</v>
      </c>
      <c r="K21" s="915">
        <v>0</v>
      </c>
      <c r="L21" s="915">
        <v>126976</v>
      </c>
      <c r="M21" s="915">
        <v>0</v>
      </c>
      <c r="N21" s="915">
        <v>0</v>
      </c>
      <c r="O21" s="915">
        <v>0</v>
      </c>
      <c r="P21" s="915">
        <v>100000</v>
      </c>
      <c r="Q21" s="915">
        <v>0</v>
      </c>
      <c r="R21" s="915">
        <v>0</v>
      </c>
      <c r="S21" s="915">
        <v>0</v>
      </c>
      <c r="T21" s="915">
        <v>0</v>
      </c>
      <c r="U21" s="915">
        <v>0</v>
      </c>
      <c r="V21" s="915">
        <v>-303770</v>
      </c>
      <c r="W21" s="915" t="str">
        <f t="shared" si="1"/>
        <v>Miscellaneous</v>
      </c>
      <c r="X21" s="38">
        <f t="shared" si="0"/>
        <v>378976</v>
      </c>
    </row>
    <row r="22" spans="2:24" s="37" customFormat="1" x14ac:dyDescent="0.2">
      <c r="B22" s="37" t="s">
        <v>290</v>
      </c>
      <c r="C22" s="915">
        <v>225000</v>
      </c>
      <c r="D22" s="915">
        <v>0</v>
      </c>
      <c r="E22" s="915">
        <v>0</v>
      </c>
      <c r="F22" s="915">
        <v>0</v>
      </c>
      <c r="G22" s="915">
        <v>0</v>
      </c>
      <c r="H22" s="915">
        <v>0</v>
      </c>
      <c r="I22" s="915">
        <v>0</v>
      </c>
      <c r="J22" s="915">
        <v>0</v>
      </c>
      <c r="K22" s="915">
        <v>0</v>
      </c>
      <c r="L22" s="915">
        <v>0</v>
      </c>
      <c r="M22" s="915">
        <v>0</v>
      </c>
      <c r="N22" s="915">
        <v>0</v>
      </c>
      <c r="O22" s="915">
        <v>0</v>
      </c>
      <c r="P22" s="915">
        <v>0</v>
      </c>
      <c r="Q22" s="915">
        <v>0</v>
      </c>
      <c r="R22" s="915">
        <v>0</v>
      </c>
      <c r="S22" s="915">
        <v>0</v>
      </c>
      <c r="T22" s="915">
        <v>0</v>
      </c>
      <c r="U22" s="915">
        <v>0</v>
      </c>
      <c r="V22" s="915">
        <v>0</v>
      </c>
      <c r="W22" s="915" t="str">
        <f t="shared" si="1"/>
        <v>Indirect Costs</v>
      </c>
      <c r="X22" s="38">
        <f>SUM(C22:V22)</f>
        <v>225000</v>
      </c>
    </row>
    <row r="23" spans="2:24" x14ac:dyDescent="0.2">
      <c r="B23" s="3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08"/>
    </row>
    <row r="24" spans="2:24" s="2" customFormat="1" x14ac:dyDescent="0.2">
      <c r="B24" s="39" t="s">
        <v>124</v>
      </c>
      <c r="C24" s="917">
        <f>SUM(C4:C23)</f>
        <v>42446171</v>
      </c>
      <c r="D24" s="917">
        <f t="shared" ref="D24:V24" si="2">SUM(D4:D23)</f>
        <v>6944925</v>
      </c>
      <c r="E24" s="917">
        <f t="shared" si="2"/>
        <v>0</v>
      </c>
      <c r="F24" s="917">
        <f t="shared" si="2"/>
        <v>0</v>
      </c>
      <c r="G24" s="917">
        <f t="shared" si="2"/>
        <v>2000</v>
      </c>
      <c r="H24" s="917">
        <f t="shared" si="2"/>
        <v>0</v>
      </c>
      <c r="I24" s="917">
        <f t="shared" si="2"/>
        <v>0</v>
      </c>
      <c r="J24" s="917">
        <f t="shared" si="2"/>
        <v>0</v>
      </c>
      <c r="K24" s="917">
        <f t="shared" si="2"/>
        <v>200000</v>
      </c>
      <c r="L24" s="917">
        <f t="shared" si="2"/>
        <v>126976</v>
      </c>
      <c r="M24" s="917">
        <f t="shared" si="2"/>
        <v>25000</v>
      </c>
      <c r="N24" s="917">
        <f t="shared" si="2"/>
        <v>0</v>
      </c>
      <c r="O24" s="917">
        <f t="shared" si="2"/>
        <v>0</v>
      </c>
      <c r="P24" s="917">
        <f t="shared" si="2"/>
        <v>555000</v>
      </c>
      <c r="Q24" s="917">
        <f t="shared" si="2"/>
        <v>717347</v>
      </c>
      <c r="R24" s="917">
        <f t="shared" si="2"/>
        <v>0</v>
      </c>
      <c r="S24" s="917">
        <f t="shared" si="2"/>
        <v>995710</v>
      </c>
      <c r="T24" s="917">
        <f t="shared" si="2"/>
        <v>304836</v>
      </c>
      <c r="U24" s="917">
        <f t="shared" si="2"/>
        <v>25403</v>
      </c>
      <c r="V24" s="917">
        <f t="shared" si="2"/>
        <v>-608770</v>
      </c>
      <c r="W24" s="918">
        <f>SUM(C24:V24)</f>
        <v>51734598</v>
      </c>
      <c r="X24" s="42">
        <f>W24-SUM(X5:X22)</f>
        <v>0</v>
      </c>
    </row>
    <row r="25" spans="2:24" x14ac:dyDescent="0.2">
      <c r="C25" s="913"/>
      <c r="D25" s="913"/>
      <c r="E25" s="913"/>
      <c r="F25" s="913"/>
      <c r="G25" s="913"/>
      <c r="H25" s="913"/>
      <c r="I25" s="913"/>
      <c r="J25" s="913"/>
      <c r="K25" s="913"/>
      <c r="L25" s="913"/>
      <c r="M25" s="913"/>
      <c r="N25" s="913"/>
      <c r="O25" s="913"/>
      <c r="P25" s="913"/>
      <c r="Q25" s="913"/>
      <c r="R25" s="913"/>
      <c r="S25" s="913"/>
      <c r="T25" s="913"/>
      <c r="U25" s="913"/>
      <c r="V25" s="913"/>
      <c r="W25" s="919"/>
    </row>
    <row r="26" spans="2:24" x14ac:dyDescent="0.2">
      <c r="B26" s="37" t="s">
        <v>291</v>
      </c>
      <c r="C26" s="913">
        <v>23806185</v>
      </c>
      <c r="D26" s="913">
        <v>0</v>
      </c>
      <c r="E26" s="913">
        <v>0</v>
      </c>
      <c r="F26" s="913">
        <v>0</v>
      </c>
      <c r="G26" s="913">
        <v>0</v>
      </c>
      <c r="H26" s="913">
        <v>0</v>
      </c>
      <c r="I26" s="913">
        <v>0</v>
      </c>
      <c r="J26" s="913">
        <v>0</v>
      </c>
      <c r="K26" s="913">
        <v>0</v>
      </c>
      <c r="L26" s="913">
        <v>0</v>
      </c>
      <c r="M26" s="913">
        <v>0</v>
      </c>
      <c r="N26" s="913">
        <v>0</v>
      </c>
      <c r="O26" s="913">
        <v>0</v>
      </c>
      <c r="P26" s="913">
        <v>0</v>
      </c>
      <c r="Q26" s="913">
        <v>0</v>
      </c>
      <c r="R26" s="913">
        <v>0</v>
      </c>
      <c r="S26" s="913">
        <v>0</v>
      </c>
      <c r="T26" s="913">
        <v>0</v>
      </c>
      <c r="U26" s="913">
        <v>0</v>
      </c>
      <c r="V26" s="913">
        <v>0</v>
      </c>
      <c r="W26" s="919" t="str">
        <f>B26</f>
        <v>Distributive School Fund (DSA)</v>
      </c>
      <c r="X26" s="44">
        <f>SUM(C26:V26)</f>
        <v>23806185</v>
      </c>
    </row>
    <row r="27" spans="2:24" x14ac:dyDescent="0.2">
      <c r="B27" s="37" t="s">
        <v>292</v>
      </c>
      <c r="C27" s="913">
        <v>-362047</v>
      </c>
      <c r="D27" s="913">
        <v>0</v>
      </c>
      <c r="E27" s="913">
        <v>0</v>
      </c>
      <c r="F27" s="913">
        <v>0</v>
      </c>
      <c r="G27" s="913">
        <v>0</v>
      </c>
      <c r="H27" s="913">
        <v>0</v>
      </c>
      <c r="I27" s="913">
        <v>0</v>
      </c>
      <c r="J27" s="913">
        <v>-85000</v>
      </c>
      <c r="K27" s="913">
        <v>0</v>
      </c>
      <c r="L27" s="913">
        <v>0</v>
      </c>
      <c r="M27" s="913">
        <v>0</v>
      </c>
      <c r="N27" s="913">
        <v>0</v>
      </c>
      <c r="O27" s="913">
        <v>0</v>
      </c>
      <c r="P27" s="913">
        <v>0</v>
      </c>
      <c r="Q27" s="913">
        <v>0</v>
      </c>
      <c r="R27" s="913">
        <v>0</v>
      </c>
      <c r="S27" s="913">
        <v>0</v>
      </c>
      <c r="T27" s="913">
        <v>0</v>
      </c>
      <c r="U27" s="913">
        <v>0</v>
      </c>
      <c r="V27" s="913">
        <v>0</v>
      </c>
      <c r="W27" s="919" t="str">
        <f t="shared" ref="W27:W32" si="3">B27</f>
        <v>DSA Charter Reduction-Outside Revs</v>
      </c>
      <c r="X27" s="44">
        <f t="shared" ref="X27:X32" si="4">SUM(C27:V27)</f>
        <v>-447047</v>
      </c>
    </row>
    <row r="28" spans="2:24" x14ac:dyDescent="0.2">
      <c r="B28" s="37" t="s">
        <v>293</v>
      </c>
      <c r="C28" s="913">
        <v>0</v>
      </c>
      <c r="D28" s="913">
        <v>0</v>
      </c>
      <c r="E28" s="913">
        <v>0</v>
      </c>
      <c r="F28" s="913">
        <v>0</v>
      </c>
      <c r="G28" s="913">
        <v>0</v>
      </c>
      <c r="H28" s="913">
        <v>0</v>
      </c>
      <c r="I28" s="913">
        <v>0</v>
      </c>
      <c r="J28" s="913">
        <v>4604402</v>
      </c>
      <c r="K28" s="913">
        <v>0</v>
      </c>
      <c r="L28" s="913">
        <v>0</v>
      </c>
      <c r="M28" s="913">
        <v>0</v>
      </c>
      <c r="N28" s="913">
        <v>0</v>
      </c>
      <c r="O28" s="913">
        <v>0</v>
      </c>
      <c r="P28" s="913">
        <v>0</v>
      </c>
      <c r="Q28" s="913">
        <v>0</v>
      </c>
      <c r="R28" s="913">
        <v>0</v>
      </c>
      <c r="S28" s="913">
        <v>0</v>
      </c>
      <c r="T28" s="913">
        <v>0</v>
      </c>
      <c r="U28" s="913">
        <v>0</v>
      </c>
      <c r="V28" s="913">
        <v>0</v>
      </c>
      <c r="W28" s="919" t="str">
        <f t="shared" si="3"/>
        <v>Special Education - DSA Funding</v>
      </c>
      <c r="X28" s="44">
        <f t="shared" si="4"/>
        <v>4604402</v>
      </c>
    </row>
    <row r="29" spans="2:24" x14ac:dyDescent="0.2">
      <c r="B29" s="37" t="s">
        <v>294</v>
      </c>
      <c r="C29" s="913">
        <v>0</v>
      </c>
      <c r="D29" s="913">
        <v>0</v>
      </c>
      <c r="E29" s="913">
        <v>0</v>
      </c>
      <c r="F29" s="913">
        <v>0</v>
      </c>
      <c r="G29" s="913">
        <v>0</v>
      </c>
      <c r="H29" s="913">
        <v>0</v>
      </c>
      <c r="I29" s="913">
        <v>0</v>
      </c>
      <c r="J29" s="913">
        <v>0</v>
      </c>
      <c r="K29" s="913">
        <v>0</v>
      </c>
      <c r="L29" s="913">
        <v>0</v>
      </c>
      <c r="M29" s="913">
        <v>0</v>
      </c>
      <c r="N29" s="913">
        <v>0</v>
      </c>
      <c r="O29" s="913">
        <v>0</v>
      </c>
      <c r="P29" s="913">
        <v>9000</v>
      </c>
      <c r="Q29" s="913">
        <v>0</v>
      </c>
      <c r="R29" s="913">
        <v>0</v>
      </c>
      <c r="S29" s="913">
        <v>0</v>
      </c>
      <c r="T29" s="913">
        <v>0</v>
      </c>
      <c r="U29" s="913">
        <v>0</v>
      </c>
      <c r="V29" s="913">
        <v>0</v>
      </c>
      <c r="W29" s="919" t="str">
        <f t="shared" si="3"/>
        <v>State Food Aid</v>
      </c>
      <c r="X29" s="44">
        <f t="shared" si="4"/>
        <v>9000</v>
      </c>
    </row>
    <row r="30" spans="2:24" x14ac:dyDescent="0.2">
      <c r="B30" s="37" t="s">
        <v>295</v>
      </c>
      <c r="C30" s="913">
        <v>0</v>
      </c>
      <c r="D30" s="913">
        <v>0</v>
      </c>
      <c r="E30" s="913">
        <v>1347600</v>
      </c>
      <c r="F30" s="913">
        <v>0</v>
      </c>
      <c r="G30" s="913">
        <v>0</v>
      </c>
      <c r="H30" s="913">
        <v>0</v>
      </c>
      <c r="I30" s="913">
        <v>6385500</v>
      </c>
      <c r="J30" s="913">
        <v>0</v>
      </c>
      <c r="K30" s="913">
        <v>0</v>
      </c>
      <c r="L30" s="913">
        <v>0</v>
      </c>
      <c r="M30" s="913">
        <v>0</v>
      </c>
      <c r="N30" s="913">
        <v>0</v>
      </c>
      <c r="O30" s="913">
        <v>0</v>
      </c>
      <c r="P30" s="913">
        <v>0</v>
      </c>
      <c r="Q30" s="913">
        <v>0</v>
      </c>
      <c r="R30" s="913">
        <v>0</v>
      </c>
      <c r="S30" s="913">
        <v>0</v>
      </c>
      <c r="T30" s="913">
        <v>0</v>
      </c>
      <c r="U30" s="913">
        <v>0</v>
      </c>
      <c r="V30" s="913">
        <v>-7600000</v>
      </c>
      <c r="W30" s="919" t="str">
        <f t="shared" si="3"/>
        <v>Restricted Funding/Grants-in-aid rev</v>
      </c>
      <c r="X30" s="44">
        <f t="shared" si="4"/>
        <v>133100</v>
      </c>
    </row>
    <row r="31" spans="2:24" x14ac:dyDescent="0.2">
      <c r="B31" s="37" t="s">
        <v>296</v>
      </c>
      <c r="C31" s="913">
        <v>0</v>
      </c>
      <c r="D31" s="913">
        <v>0</v>
      </c>
      <c r="E31" s="913">
        <v>0</v>
      </c>
      <c r="F31" s="913">
        <v>0</v>
      </c>
      <c r="G31" s="913">
        <v>353812</v>
      </c>
      <c r="H31" s="913">
        <v>982855</v>
      </c>
      <c r="I31" s="913">
        <v>0</v>
      </c>
      <c r="J31" s="913">
        <v>0</v>
      </c>
      <c r="K31" s="913">
        <v>0</v>
      </c>
      <c r="L31" s="913">
        <v>0</v>
      </c>
      <c r="M31" s="913">
        <v>0</v>
      </c>
      <c r="N31" s="913">
        <v>0</v>
      </c>
      <c r="O31" s="913">
        <v>0</v>
      </c>
      <c r="P31" s="913">
        <v>0</v>
      </c>
      <c r="Q31" s="913">
        <v>0</v>
      </c>
      <c r="R31" s="913">
        <v>0</v>
      </c>
      <c r="S31" s="913">
        <v>0</v>
      </c>
      <c r="T31" s="913">
        <v>0</v>
      </c>
      <c r="U31" s="913">
        <v>0</v>
      </c>
      <c r="V31" s="913">
        <v>0</v>
      </c>
      <c r="W31" s="919" t="str">
        <f t="shared" si="3"/>
        <v>Audult High School Diploma</v>
      </c>
      <c r="X31" s="44">
        <f t="shared" si="4"/>
        <v>1336667</v>
      </c>
    </row>
    <row r="32" spans="2:24" x14ac:dyDescent="0.2">
      <c r="B32" s="37" t="s">
        <v>191</v>
      </c>
      <c r="C32" s="913">
        <v>0</v>
      </c>
      <c r="D32" s="913">
        <v>0</v>
      </c>
      <c r="E32" s="913">
        <v>0</v>
      </c>
      <c r="F32" s="913">
        <v>2677176</v>
      </c>
      <c r="G32" s="913">
        <v>0</v>
      </c>
      <c r="H32" s="913">
        <v>0</v>
      </c>
      <c r="I32" s="913">
        <v>0</v>
      </c>
      <c r="J32" s="913">
        <v>0</v>
      </c>
      <c r="K32" s="913">
        <v>0</v>
      </c>
      <c r="L32" s="913">
        <v>0</v>
      </c>
      <c r="M32" s="913">
        <v>0</v>
      </c>
      <c r="N32" s="913">
        <v>0</v>
      </c>
      <c r="O32" s="913">
        <v>0</v>
      </c>
      <c r="P32" s="913">
        <v>0</v>
      </c>
      <c r="Q32" s="913">
        <v>0</v>
      </c>
      <c r="R32" s="913">
        <v>0</v>
      </c>
      <c r="S32" s="913">
        <v>0</v>
      </c>
      <c r="T32" s="913">
        <v>0</v>
      </c>
      <c r="U32" s="913">
        <v>0</v>
      </c>
      <c r="V32" s="913">
        <v>-219723</v>
      </c>
      <c r="W32" s="919" t="str">
        <f t="shared" si="3"/>
        <v>Class Size Reduction</v>
      </c>
      <c r="X32" s="44">
        <f t="shared" si="4"/>
        <v>2457453</v>
      </c>
    </row>
    <row r="33" spans="1:24" x14ac:dyDescent="0.2">
      <c r="C33" s="913"/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913"/>
      <c r="P33" s="913"/>
      <c r="Q33" s="913"/>
      <c r="R33" s="913"/>
      <c r="S33" s="913"/>
      <c r="T33" s="913"/>
      <c r="U33" s="913"/>
      <c r="V33" s="913"/>
      <c r="W33" s="919"/>
    </row>
    <row r="34" spans="1:24" s="2" customFormat="1" x14ac:dyDescent="0.2">
      <c r="B34" s="39" t="s">
        <v>125</v>
      </c>
      <c r="C34" s="917">
        <f>SUM(C25:C33)</f>
        <v>23444138</v>
      </c>
      <c r="D34" s="917">
        <f t="shared" ref="D34:V34" si="5">SUM(D25:D33)</f>
        <v>0</v>
      </c>
      <c r="E34" s="917">
        <f t="shared" si="5"/>
        <v>1347600</v>
      </c>
      <c r="F34" s="917">
        <f t="shared" si="5"/>
        <v>2677176</v>
      </c>
      <c r="G34" s="917">
        <f t="shared" si="5"/>
        <v>353812</v>
      </c>
      <c r="H34" s="917">
        <f t="shared" si="5"/>
        <v>982855</v>
      </c>
      <c r="I34" s="917">
        <f t="shared" si="5"/>
        <v>6385500</v>
      </c>
      <c r="J34" s="917">
        <f t="shared" si="5"/>
        <v>4519402</v>
      </c>
      <c r="K34" s="917">
        <f t="shared" si="5"/>
        <v>0</v>
      </c>
      <c r="L34" s="917">
        <f t="shared" si="5"/>
        <v>0</v>
      </c>
      <c r="M34" s="917">
        <f t="shared" si="5"/>
        <v>0</v>
      </c>
      <c r="N34" s="917">
        <f t="shared" si="5"/>
        <v>0</v>
      </c>
      <c r="O34" s="917">
        <f t="shared" si="5"/>
        <v>0</v>
      </c>
      <c r="P34" s="917">
        <f t="shared" si="5"/>
        <v>9000</v>
      </c>
      <c r="Q34" s="917">
        <f t="shared" si="5"/>
        <v>0</v>
      </c>
      <c r="R34" s="917">
        <f t="shared" si="5"/>
        <v>0</v>
      </c>
      <c r="S34" s="917">
        <f t="shared" si="5"/>
        <v>0</v>
      </c>
      <c r="T34" s="917">
        <f t="shared" si="5"/>
        <v>0</v>
      </c>
      <c r="U34" s="917">
        <f t="shared" si="5"/>
        <v>0</v>
      </c>
      <c r="V34" s="917">
        <f t="shared" si="5"/>
        <v>-7819723</v>
      </c>
      <c r="W34" s="918">
        <f>SUM(C34:V34)</f>
        <v>31899760</v>
      </c>
      <c r="X34" s="41">
        <f>SUM(X26:X33)-W34</f>
        <v>0</v>
      </c>
    </row>
    <row r="35" spans="1:24" x14ac:dyDescent="0.2">
      <c r="C35" s="913"/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913"/>
      <c r="P35" s="913"/>
      <c r="Q35" s="913"/>
      <c r="R35" s="913"/>
      <c r="S35" s="913"/>
      <c r="T35" s="913"/>
      <c r="U35" s="913"/>
      <c r="V35" s="913"/>
      <c r="W35" s="919"/>
    </row>
    <row r="36" spans="1:24" s="37" customFormat="1" x14ac:dyDescent="0.2">
      <c r="A36" s="45"/>
      <c r="B36" s="37" t="s">
        <v>297</v>
      </c>
      <c r="C36" s="920">
        <v>0</v>
      </c>
      <c r="D36" s="920">
        <v>0</v>
      </c>
      <c r="E36" s="920">
        <v>0</v>
      </c>
      <c r="F36" s="920">
        <v>0</v>
      </c>
      <c r="G36" s="920">
        <v>0</v>
      </c>
      <c r="H36" s="920">
        <v>0</v>
      </c>
      <c r="I36" s="920">
        <v>0</v>
      </c>
      <c r="J36" s="920">
        <v>0</v>
      </c>
      <c r="K36" s="920">
        <v>0</v>
      </c>
      <c r="L36" s="920">
        <v>0</v>
      </c>
      <c r="M36" s="920">
        <v>0</v>
      </c>
      <c r="N36" s="920">
        <v>0</v>
      </c>
      <c r="O36" s="920">
        <v>400000</v>
      </c>
      <c r="P36" s="920">
        <v>0</v>
      </c>
      <c r="Q36" s="920">
        <v>0</v>
      </c>
      <c r="R36" s="920">
        <v>0</v>
      </c>
      <c r="S36" s="920">
        <v>0</v>
      </c>
      <c r="T36" s="920">
        <v>0</v>
      </c>
      <c r="U36" s="920">
        <v>0</v>
      </c>
      <c r="V36" s="920">
        <v>0</v>
      </c>
      <c r="W36" s="921" t="str">
        <f>B36</f>
        <v>Medicaid SBCHS Reimbursement</v>
      </c>
      <c r="X36" s="46">
        <f>SUM(C36:V36)</f>
        <v>400000</v>
      </c>
    </row>
    <row r="37" spans="1:24" s="37" customFormat="1" x14ac:dyDescent="0.2">
      <c r="A37" s="45"/>
      <c r="B37" s="37" t="s">
        <v>298</v>
      </c>
      <c r="C37" s="920">
        <v>5000</v>
      </c>
      <c r="D37" s="920">
        <v>0</v>
      </c>
      <c r="E37" s="920">
        <v>0</v>
      </c>
      <c r="F37" s="920">
        <v>0</v>
      </c>
      <c r="G37" s="920">
        <v>0</v>
      </c>
      <c r="H37" s="920">
        <v>0</v>
      </c>
      <c r="I37" s="920">
        <v>0</v>
      </c>
      <c r="J37" s="920">
        <v>0</v>
      </c>
      <c r="K37" s="920">
        <v>0</v>
      </c>
      <c r="L37" s="920">
        <v>0</v>
      </c>
      <c r="M37" s="920">
        <v>0</v>
      </c>
      <c r="N37" s="920">
        <v>0</v>
      </c>
      <c r="O37" s="920">
        <v>0</v>
      </c>
      <c r="P37" s="920">
        <f>50000+500000+1600000+210000+25000</f>
        <v>2385000</v>
      </c>
      <c r="Q37" s="920">
        <v>0</v>
      </c>
      <c r="R37" s="920">
        <v>0</v>
      </c>
      <c r="S37" s="920">
        <v>0</v>
      </c>
      <c r="T37" s="920">
        <v>0</v>
      </c>
      <c r="U37" s="920">
        <v>0</v>
      </c>
      <c r="V37" s="920">
        <v>0</v>
      </c>
      <c r="W37" s="921" t="str">
        <f>B37</f>
        <v>Restricted - State Agency</v>
      </c>
      <c r="X37" s="46">
        <f>SUM(C37:V37)</f>
        <v>2390000</v>
      </c>
    </row>
    <row r="38" spans="1:24" s="37" customFormat="1" x14ac:dyDescent="0.2">
      <c r="A38" s="45"/>
      <c r="B38" s="37" t="s">
        <v>299</v>
      </c>
      <c r="C38" s="920">
        <v>100000</v>
      </c>
      <c r="D38" s="920">
        <v>0</v>
      </c>
      <c r="E38" s="920">
        <v>0</v>
      </c>
      <c r="F38" s="920">
        <v>0</v>
      </c>
      <c r="G38" s="920">
        <v>0</v>
      </c>
      <c r="H38" s="920">
        <v>0</v>
      </c>
      <c r="I38" s="920">
        <v>0</v>
      </c>
      <c r="J38" s="920">
        <v>0</v>
      </c>
      <c r="K38" s="920">
        <v>0</v>
      </c>
      <c r="L38" s="920">
        <v>0</v>
      </c>
      <c r="M38" s="920">
        <v>0</v>
      </c>
      <c r="N38" s="920">
        <v>6200000</v>
      </c>
      <c r="O38" s="920">
        <v>0</v>
      </c>
      <c r="P38" s="920">
        <v>0</v>
      </c>
      <c r="Q38" s="920">
        <v>500000</v>
      </c>
      <c r="R38" s="920">
        <v>0</v>
      </c>
      <c r="S38" s="920">
        <v>0</v>
      </c>
      <c r="T38" s="920">
        <v>0</v>
      </c>
      <c r="U38" s="920">
        <v>0</v>
      </c>
      <c r="V38" s="920">
        <v>0</v>
      </c>
      <c r="W38" s="921" t="str">
        <f>B38</f>
        <v>Restricted - Direct</v>
      </c>
      <c r="X38" s="46">
        <f>SUM(C38:V38)</f>
        <v>6800000</v>
      </c>
    </row>
    <row r="39" spans="1:24" x14ac:dyDescent="0.2">
      <c r="C39" s="913"/>
      <c r="D39" s="913"/>
      <c r="E39" s="913"/>
      <c r="F39" s="913"/>
      <c r="G39" s="913"/>
      <c r="H39" s="913"/>
      <c r="I39" s="913"/>
      <c r="J39" s="913"/>
      <c r="K39" s="913"/>
      <c r="L39" s="913"/>
      <c r="M39" s="913"/>
      <c r="N39" s="913"/>
      <c r="O39" s="913"/>
      <c r="P39" s="913"/>
      <c r="Q39" s="913"/>
      <c r="R39" s="913"/>
      <c r="S39" s="913"/>
      <c r="T39" s="913"/>
      <c r="U39" s="913"/>
      <c r="V39" s="913"/>
      <c r="W39" s="919"/>
    </row>
    <row r="40" spans="1:24" s="2" customFormat="1" x14ac:dyDescent="0.2">
      <c r="B40" s="39" t="s">
        <v>126</v>
      </c>
      <c r="C40" s="917">
        <f t="shared" ref="C40:V40" si="6">SUM(C35:C39)</f>
        <v>105000</v>
      </c>
      <c r="D40" s="917">
        <f t="shared" si="6"/>
        <v>0</v>
      </c>
      <c r="E40" s="917">
        <f t="shared" si="6"/>
        <v>0</v>
      </c>
      <c r="F40" s="917">
        <f t="shared" si="6"/>
        <v>0</v>
      </c>
      <c r="G40" s="917">
        <f t="shared" si="6"/>
        <v>0</v>
      </c>
      <c r="H40" s="917">
        <f t="shared" si="6"/>
        <v>0</v>
      </c>
      <c r="I40" s="917">
        <f t="shared" si="6"/>
        <v>0</v>
      </c>
      <c r="J40" s="917">
        <f t="shared" si="6"/>
        <v>0</v>
      </c>
      <c r="K40" s="917">
        <f t="shared" si="6"/>
        <v>0</v>
      </c>
      <c r="L40" s="917">
        <f t="shared" si="6"/>
        <v>0</v>
      </c>
      <c r="M40" s="917">
        <f t="shared" si="6"/>
        <v>0</v>
      </c>
      <c r="N40" s="917">
        <f t="shared" si="6"/>
        <v>6200000</v>
      </c>
      <c r="O40" s="917">
        <f t="shared" si="6"/>
        <v>400000</v>
      </c>
      <c r="P40" s="917">
        <f t="shared" si="6"/>
        <v>2385000</v>
      </c>
      <c r="Q40" s="917">
        <f t="shared" si="6"/>
        <v>500000</v>
      </c>
      <c r="R40" s="917">
        <f t="shared" si="6"/>
        <v>0</v>
      </c>
      <c r="S40" s="917">
        <f t="shared" si="6"/>
        <v>0</v>
      </c>
      <c r="T40" s="917">
        <f t="shared" si="6"/>
        <v>0</v>
      </c>
      <c r="U40" s="917">
        <f t="shared" si="6"/>
        <v>0</v>
      </c>
      <c r="V40" s="917">
        <f t="shared" si="6"/>
        <v>0</v>
      </c>
      <c r="W40" s="918">
        <f>SUM(C40:V40)</f>
        <v>9590000</v>
      </c>
      <c r="X40" s="41">
        <f>SUM(X37:X39)-W40</f>
        <v>-400000</v>
      </c>
    </row>
    <row r="41" spans="1:24" x14ac:dyDescent="0.2"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913"/>
      <c r="W41" s="919"/>
    </row>
    <row r="42" spans="1:24" x14ac:dyDescent="0.2">
      <c r="B42" t="s">
        <v>300</v>
      </c>
      <c r="C42" s="913">
        <v>0</v>
      </c>
      <c r="D42" s="913">
        <v>0</v>
      </c>
      <c r="E42" s="913">
        <v>0</v>
      </c>
      <c r="F42" s="913">
        <v>0</v>
      </c>
      <c r="G42" s="913">
        <v>0</v>
      </c>
      <c r="H42" s="913">
        <v>0</v>
      </c>
      <c r="I42" s="913">
        <v>0</v>
      </c>
      <c r="J42" s="913">
        <v>0</v>
      </c>
      <c r="K42" s="913">
        <v>0</v>
      </c>
      <c r="L42" s="913">
        <v>0</v>
      </c>
      <c r="M42" s="913">
        <v>0</v>
      </c>
      <c r="N42" s="913">
        <v>0</v>
      </c>
      <c r="O42" s="913">
        <v>0</v>
      </c>
      <c r="P42" s="913">
        <v>0</v>
      </c>
      <c r="Q42" s="913">
        <v>0</v>
      </c>
      <c r="R42" s="913">
        <v>20000000</v>
      </c>
      <c r="S42" s="913">
        <v>0</v>
      </c>
      <c r="T42" s="913">
        <v>0</v>
      </c>
      <c r="U42" s="913">
        <v>0</v>
      </c>
      <c r="V42" s="913">
        <v>0</v>
      </c>
      <c r="W42" s="921" t="str">
        <f>B42</f>
        <v xml:space="preserve">Bond Principal </v>
      </c>
      <c r="X42" s="46">
        <f>SUM(C42:V42)</f>
        <v>20000000</v>
      </c>
    </row>
    <row r="43" spans="1:24" s="37" customFormat="1" x14ac:dyDescent="0.2">
      <c r="A43" s="45"/>
      <c r="B43" s="37" t="s">
        <v>301</v>
      </c>
      <c r="C43" s="920">
        <v>0</v>
      </c>
      <c r="D43" s="920">
        <v>0</v>
      </c>
      <c r="E43" s="920">
        <v>0</v>
      </c>
      <c r="F43" s="920">
        <v>219723</v>
      </c>
      <c r="G43" s="920">
        <v>0</v>
      </c>
      <c r="H43" s="920">
        <v>0</v>
      </c>
      <c r="I43" s="920">
        <v>0</v>
      </c>
      <c r="J43" s="920">
        <v>7600000</v>
      </c>
      <c r="K43" s="920">
        <v>0</v>
      </c>
      <c r="L43" s="920">
        <v>0</v>
      </c>
      <c r="M43" s="920">
        <v>0</v>
      </c>
      <c r="N43" s="920">
        <v>0</v>
      </c>
      <c r="O43" s="920">
        <v>0</v>
      </c>
      <c r="P43" s="920">
        <v>305000</v>
      </c>
      <c r="Q43" s="920">
        <v>350000</v>
      </c>
      <c r="R43" s="920">
        <v>0</v>
      </c>
      <c r="S43" s="920">
        <v>0</v>
      </c>
      <c r="T43" s="920">
        <v>0</v>
      </c>
      <c r="U43" s="920">
        <v>0</v>
      </c>
      <c r="V43" s="920">
        <v>-350000</v>
      </c>
      <c r="W43" s="921" t="str">
        <f>B43</f>
        <v>Transfers from Other Funds</v>
      </c>
      <c r="X43" s="46">
        <f>SUM(C43:V43)</f>
        <v>8124723</v>
      </c>
    </row>
    <row r="44" spans="1:24" s="37" customFormat="1" x14ac:dyDescent="0.2">
      <c r="A44" s="45"/>
      <c r="B44" s="37" t="s">
        <v>302</v>
      </c>
      <c r="C44" s="920">
        <v>5000</v>
      </c>
      <c r="D44" s="920">
        <v>0</v>
      </c>
      <c r="E44" s="920">
        <v>0</v>
      </c>
      <c r="F44" s="920">
        <v>0</v>
      </c>
      <c r="G44" s="920">
        <v>0</v>
      </c>
      <c r="H44" s="920">
        <v>0</v>
      </c>
      <c r="I44" s="920">
        <v>0</v>
      </c>
      <c r="J44" s="920">
        <v>0</v>
      </c>
      <c r="K44" s="920">
        <v>0</v>
      </c>
      <c r="L44" s="920">
        <v>0</v>
      </c>
      <c r="M44" s="920">
        <v>0</v>
      </c>
      <c r="N44" s="920">
        <v>0</v>
      </c>
      <c r="O44" s="920">
        <v>0</v>
      </c>
      <c r="P44" s="920">
        <v>0</v>
      </c>
      <c r="Q44" s="920">
        <v>0</v>
      </c>
      <c r="R44" s="920">
        <v>0</v>
      </c>
      <c r="S44" s="920">
        <v>0</v>
      </c>
      <c r="T44" s="920">
        <v>0</v>
      </c>
      <c r="U44" s="920">
        <v>0</v>
      </c>
      <c r="V44" s="920">
        <v>0</v>
      </c>
      <c r="W44" s="921" t="str">
        <f>B44</f>
        <v xml:space="preserve">Gain/Loss Disposal of Assets </v>
      </c>
      <c r="X44" s="46">
        <f>SUM(C44:V44)</f>
        <v>5000</v>
      </c>
    </row>
    <row r="45" spans="1:24" x14ac:dyDescent="0.2">
      <c r="C45" s="913"/>
      <c r="D45" s="913"/>
      <c r="E45" s="913"/>
      <c r="F45" s="913"/>
      <c r="G45" s="913"/>
      <c r="H45" s="913"/>
      <c r="I45" s="913"/>
      <c r="J45" s="913"/>
      <c r="K45" s="913"/>
      <c r="L45" s="913"/>
      <c r="M45" s="913"/>
      <c r="N45" s="913"/>
      <c r="O45" s="913"/>
      <c r="P45" s="913"/>
      <c r="Q45" s="913"/>
      <c r="R45" s="913"/>
      <c r="S45" s="913"/>
      <c r="T45" s="913"/>
      <c r="U45" s="913"/>
      <c r="V45" s="913"/>
      <c r="W45" s="919"/>
    </row>
    <row r="46" spans="1:24" s="2" customFormat="1" x14ac:dyDescent="0.2">
      <c r="B46" s="39" t="s">
        <v>127</v>
      </c>
      <c r="C46" s="917">
        <f>SUM(C41:C45)</f>
        <v>5000</v>
      </c>
      <c r="D46" s="917">
        <f t="shared" ref="D46:V46" si="7">SUM(D41:D45)</f>
        <v>0</v>
      </c>
      <c r="E46" s="917">
        <f t="shared" si="7"/>
        <v>0</v>
      </c>
      <c r="F46" s="917">
        <f t="shared" si="7"/>
        <v>219723</v>
      </c>
      <c r="G46" s="917">
        <f t="shared" si="7"/>
        <v>0</v>
      </c>
      <c r="H46" s="917">
        <f t="shared" si="7"/>
        <v>0</v>
      </c>
      <c r="I46" s="917">
        <f t="shared" si="7"/>
        <v>0</v>
      </c>
      <c r="J46" s="917">
        <f t="shared" si="7"/>
        <v>7600000</v>
      </c>
      <c r="K46" s="917">
        <f t="shared" si="7"/>
        <v>0</v>
      </c>
      <c r="L46" s="917">
        <f t="shared" si="7"/>
        <v>0</v>
      </c>
      <c r="M46" s="917">
        <f t="shared" si="7"/>
        <v>0</v>
      </c>
      <c r="N46" s="917">
        <f t="shared" si="7"/>
        <v>0</v>
      </c>
      <c r="O46" s="917">
        <f t="shared" si="7"/>
        <v>0</v>
      </c>
      <c r="P46" s="917">
        <f t="shared" si="7"/>
        <v>305000</v>
      </c>
      <c r="Q46" s="917">
        <f t="shared" si="7"/>
        <v>350000</v>
      </c>
      <c r="R46" s="917">
        <f t="shared" si="7"/>
        <v>20000000</v>
      </c>
      <c r="S46" s="917">
        <f t="shared" si="7"/>
        <v>0</v>
      </c>
      <c r="T46" s="917">
        <f t="shared" si="7"/>
        <v>0</v>
      </c>
      <c r="U46" s="917">
        <f t="shared" si="7"/>
        <v>0</v>
      </c>
      <c r="V46" s="917">
        <f t="shared" si="7"/>
        <v>-350000</v>
      </c>
      <c r="W46" s="918">
        <f>SUM(C46:V46)</f>
        <v>28129723</v>
      </c>
      <c r="X46" s="41">
        <f>SUM(X43:X45)-W46</f>
        <v>-20000000</v>
      </c>
    </row>
    <row r="47" spans="1:24" x14ac:dyDescent="0.2">
      <c r="C47" s="916"/>
      <c r="D47" s="916"/>
      <c r="E47" s="916"/>
      <c r="F47" s="916"/>
      <c r="G47" s="916"/>
      <c r="H47" s="916"/>
      <c r="I47" s="916"/>
      <c r="J47" s="916"/>
      <c r="K47" s="916"/>
      <c r="L47" s="916"/>
      <c r="M47" s="916"/>
      <c r="N47" s="916"/>
      <c r="O47" s="916"/>
      <c r="P47" s="916"/>
      <c r="Q47" s="916"/>
      <c r="R47" s="916"/>
      <c r="S47" s="916"/>
      <c r="T47" s="916"/>
      <c r="U47" s="916"/>
      <c r="V47" s="916"/>
      <c r="W47" s="922"/>
    </row>
    <row r="48" spans="1:24" s="2" customFormat="1" x14ac:dyDescent="0.2">
      <c r="B48" s="18" t="s">
        <v>128</v>
      </c>
      <c r="C48" s="917">
        <f t="shared" ref="C48:V48" si="8">SUM(C46,C40,C34,C24)</f>
        <v>66000309</v>
      </c>
      <c r="D48" s="917">
        <f t="shared" si="8"/>
        <v>6944925</v>
      </c>
      <c r="E48" s="917">
        <f t="shared" si="8"/>
        <v>1347600</v>
      </c>
      <c r="F48" s="917">
        <f t="shared" si="8"/>
        <v>2896899</v>
      </c>
      <c r="G48" s="917">
        <f t="shared" si="8"/>
        <v>355812</v>
      </c>
      <c r="H48" s="917">
        <f t="shared" si="8"/>
        <v>982855</v>
      </c>
      <c r="I48" s="917">
        <f t="shared" si="8"/>
        <v>6385500</v>
      </c>
      <c r="J48" s="917">
        <f t="shared" si="8"/>
        <v>12119402</v>
      </c>
      <c r="K48" s="917">
        <f t="shared" si="8"/>
        <v>200000</v>
      </c>
      <c r="L48" s="917">
        <f t="shared" si="8"/>
        <v>126976</v>
      </c>
      <c r="M48" s="917">
        <f t="shared" si="8"/>
        <v>25000</v>
      </c>
      <c r="N48" s="917">
        <f t="shared" si="8"/>
        <v>6200000</v>
      </c>
      <c r="O48" s="917">
        <f t="shared" si="8"/>
        <v>400000</v>
      </c>
      <c r="P48" s="917">
        <f t="shared" si="8"/>
        <v>3254000</v>
      </c>
      <c r="Q48" s="917">
        <f t="shared" si="8"/>
        <v>1567347</v>
      </c>
      <c r="R48" s="917">
        <f t="shared" si="8"/>
        <v>20000000</v>
      </c>
      <c r="S48" s="917">
        <f t="shared" si="8"/>
        <v>995710</v>
      </c>
      <c r="T48" s="917">
        <f t="shared" si="8"/>
        <v>304836</v>
      </c>
      <c r="U48" s="917">
        <f t="shared" si="8"/>
        <v>25403</v>
      </c>
      <c r="V48" s="917">
        <f t="shared" si="8"/>
        <v>-8778493</v>
      </c>
      <c r="W48" s="918">
        <f>SUM(W24:W47)</f>
        <v>121354081</v>
      </c>
      <c r="X48" s="41">
        <f>SUM(X5:X47)</f>
        <v>100954081</v>
      </c>
    </row>
    <row r="49" spans="1:25" x14ac:dyDescent="0.2">
      <c r="C49" s="913"/>
      <c r="D49" s="913"/>
      <c r="E49" s="913"/>
      <c r="F49" s="913"/>
      <c r="G49" s="913"/>
      <c r="H49" s="913"/>
      <c r="I49" s="913"/>
      <c r="J49" s="913"/>
      <c r="K49" s="913"/>
      <c r="L49" s="913"/>
      <c r="M49" s="913"/>
      <c r="N49" s="913"/>
      <c r="O49" s="913"/>
      <c r="P49" s="913"/>
      <c r="Q49" s="913"/>
      <c r="R49" s="913"/>
      <c r="S49" s="913"/>
      <c r="T49" s="913"/>
      <c r="U49" s="913"/>
      <c r="V49" s="913"/>
      <c r="W49" s="919"/>
    </row>
    <row r="50" spans="1:25" s="37" customFormat="1" x14ac:dyDescent="0.2">
      <c r="A50" s="45"/>
      <c r="B50" s="37" t="s">
        <v>303</v>
      </c>
      <c r="C50" s="920">
        <v>5698877</v>
      </c>
      <c r="D50" s="920">
        <v>0</v>
      </c>
      <c r="E50" s="920">
        <v>0</v>
      </c>
      <c r="F50" s="920">
        <v>0</v>
      </c>
      <c r="G50" s="920">
        <v>0</v>
      </c>
      <c r="H50" s="920">
        <v>0</v>
      </c>
      <c r="I50" s="920">
        <v>0</v>
      </c>
      <c r="J50" s="920">
        <v>0</v>
      </c>
      <c r="K50" s="920">
        <v>0</v>
      </c>
      <c r="L50" s="920">
        <v>0</v>
      </c>
      <c r="M50" s="920">
        <v>0</v>
      </c>
      <c r="N50" s="920">
        <v>0</v>
      </c>
      <c r="O50" s="920">
        <v>0</v>
      </c>
      <c r="P50" s="920">
        <v>0</v>
      </c>
      <c r="Q50" s="920">
        <v>0</v>
      </c>
      <c r="R50" s="920">
        <v>0</v>
      </c>
      <c r="S50" s="920">
        <v>0</v>
      </c>
      <c r="T50" s="920">
        <v>0</v>
      </c>
      <c r="U50" s="920">
        <v>0</v>
      </c>
      <c r="V50" s="920">
        <v>0</v>
      </c>
      <c r="W50" s="921" t="str">
        <f>B50</f>
        <v>Reserved Opening Balance</v>
      </c>
      <c r="X50" s="46">
        <f>SUM(C50:V50)</f>
        <v>5698877</v>
      </c>
    </row>
    <row r="51" spans="1:25" s="37" customFormat="1" x14ac:dyDescent="0.2">
      <c r="A51" s="45"/>
      <c r="B51" s="37" t="s">
        <v>304</v>
      </c>
      <c r="C51" s="920">
        <v>8483200</v>
      </c>
      <c r="D51" s="920">
        <v>3851628</v>
      </c>
      <c r="E51" s="920">
        <v>0</v>
      </c>
      <c r="F51" s="920">
        <v>0</v>
      </c>
      <c r="G51" s="920">
        <v>51512</v>
      </c>
      <c r="H51" s="920">
        <v>639</v>
      </c>
      <c r="I51" s="920">
        <v>0</v>
      </c>
      <c r="J51" s="920">
        <v>848907</v>
      </c>
      <c r="K51" s="920">
        <v>0</v>
      </c>
      <c r="L51" s="920">
        <v>0</v>
      </c>
      <c r="M51" s="920">
        <v>52884</v>
      </c>
      <c r="N51" s="920">
        <v>0</v>
      </c>
      <c r="O51" s="920">
        <v>299346</v>
      </c>
      <c r="P51" s="920">
        <v>206696</v>
      </c>
      <c r="Q51" s="920">
        <v>284619</v>
      </c>
      <c r="R51" s="920">
        <v>2900641</v>
      </c>
      <c r="S51" s="920">
        <v>3802375</v>
      </c>
      <c r="T51" s="920">
        <v>747481</v>
      </c>
      <c r="U51" s="920">
        <v>448278</v>
      </c>
      <c r="V51" s="920">
        <v>0</v>
      </c>
      <c r="W51" s="921" t="str">
        <f>B51</f>
        <v>Opening Balance (Other)</v>
      </c>
      <c r="X51" s="46">
        <f>SUM(C51:V51)</f>
        <v>21978206</v>
      </c>
    </row>
    <row r="52" spans="1:25" s="37" customFormat="1" x14ac:dyDescent="0.2">
      <c r="A52" s="45"/>
      <c r="B52" s="37" t="s">
        <v>305</v>
      </c>
      <c r="C52" s="920">
        <v>0</v>
      </c>
      <c r="D52" s="920">
        <v>0</v>
      </c>
      <c r="E52" s="920">
        <v>0</v>
      </c>
      <c r="F52" s="920">
        <v>0</v>
      </c>
      <c r="G52" s="920"/>
      <c r="H52" s="920">
        <v>-639</v>
      </c>
      <c r="I52" s="920">
        <v>0</v>
      </c>
      <c r="J52" s="920">
        <v>0</v>
      </c>
      <c r="K52" s="920">
        <v>0</v>
      </c>
      <c r="L52" s="920">
        <v>0</v>
      </c>
      <c r="M52" s="920">
        <v>0</v>
      </c>
      <c r="N52" s="920">
        <v>0</v>
      </c>
      <c r="O52" s="920">
        <v>0</v>
      </c>
      <c r="P52" s="920">
        <v>0</v>
      </c>
      <c r="Q52" s="920">
        <v>0</v>
      </c>
      <c r="R52" s="920">
        <v>0</v>
      </c>
      <c r="S52" s="920">
        <v>0</v>
      </c>
      <c r="T52" s="920">
        <v>0</v>
      </c>
      <c r="U52" s="920">
        <v>0</v>
      </c>
      <c r="V52" s="920">
        <v>0</v>
      </c>
      <c r="W52" s="921" t="str">
        <f>B52</f>
        <v>Reverted to State</v>
      </c>
      <c r="X52" s="46">
        <f>SUM(C52:V52)</f>
        <v>-639</v>
      </c>
    </row>
    <row r="53" spans="1:25" x14ac:dyDescent="0.2"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9"/>
    </row>
    <row r="54" spans="1:25" s="2" customFormat="1" x14ac:dyDescent="0.2">
      <c r="B54" s="39" t="s">
        <v>129</v>
      </c>
      <c r="C54" s="917">
        <f>SUM(C49:C53)</f>
        <v>14182077</v>
      </c>
      <c r="D54" s="917">
        <f t="shared" ref="D54:V54" si="9">SUM(D49:D53)</f>
        <v>3851628</v>
      </c>
      <c r="E54" s="917">
        <f t="shared" si="9"/>
        <v>0</v>
      </c>
      <c r="F54" s="917">
        <f t="shared" si="9"/>
        <v>0</v>
      </c>
      <c r="G54" s="917">
        <f t="shared" si="9"/>
        <v>51512</v>
      </c>
      <c r="H54" s="917">
        <f t="shared" si="9"/>
        <v>0</v>
      </c>
      <c r="I54" s="917">
        <f t="shared" si="9"/>
        <v>0</v>
      </c>
      <c r="J54" s="917">
        <f t="shared" si="9"/>
        <v>848907</v>
      </c>
      <c r="K54" s="917">
        <f t="shared" si="9"/>
        <v>0</v>
      </c>
      <c r="L54" s="917">
        <f t="shared" si="9"/>
        <v>0</v>
      </c>
      <c r="M54" s="917">
        <f t="shared" si="9"/>
        <v>52884</v>
      </c>
      <c r="N54" s="917">
        <f t="shared" si="9"/>
        <v>0</v>
      </c>
      <c r="O54" s="917">
        <f t="shared" si="9"/>
        <v>299346</v>
      </c>
      <c r="P54" s="917">
        <f t="shared" si="9"/>
        <v>206696</v>
      </c>
      <c r="Q54" s="917">
        <f t="shared" si="9"/>
        <v>284619</v>
      </c>
      <c r="R54" s="917">
        <f t="shared" si="9"/>
        <v>2900641</v>
      </c>
      <c r="S54" s="917">
        <f t="shared" si="9"/>
        <v>3802375</v>
      </c>
      <c r="T54" s="917">
        <f t="shared" si="9"/>
        <v>747481</v>
      </c>
      <c r="U54" s="917">
        <f t="shared" si="9"/>
        <v>448278</v>
      </c>
      <c r="V54" s="917">
        <f t="shared" si="9"/>
        <v>0</v>
      </c>
      <c r="W54" s="917">
        <f>SUM(C54:V54)</f>
        <v>27676444</v>
      </c>
      <c r="X54" s="41">
        <f>SUM(X50:X53)-W54</f>
        <v>0</v>
      </c>
    </row>
    <row r="55" spans="1:25" x14ac:dyDescent="0.2">
      <c r="C55" s="913"/>
      <c r="D55" s="913"/>
      <c r="E55" s="913"/>
      <c r="F55" s="913"/>
      <c r="G55" s="913"/>
      <c r="H55" s="913"/>
      <c r="I55" s="913"/>
      <c r="J55" s="913"/>
      <c r="K55" s="913"/>
      <c r="L55" s="913"/>
      <c r="M55" s="913"/>
      <c r="N55" s="913"/>
      <c r="O55" s="913"/>
      <c r="P55" s="913"/>
      <c r="Q55" s="913"/>
      <c r="R55" s="913"/>
      <c r="S55" s="913"/>
      <c r="T55" s="913"/>
      <c r="U55" s="913"/>
      <c r="V55" s="913"/>
      <c r="W55" s="919"/>
    </row>
    <row r="56" spans="1:25" s="2" customFormat="1" x14ac:dyDescent="0.2">
      <c r="A56" s="22"/>
      <c r="B56" s="23" t="s">
        <v>306</v>
      </c>
      <c r="C56" s="47">
        <f>SUM(C48,C54)</f>
        <v>80182386</v>
      </c>
      <c r="D56" s="47">
        <f t="shared" ref="D56:V56" si="10">SUM(D48,D54)</f>
        <v>10796553</v>
      </c>
      <c r="E56" s="47">
        <f t="shared" si="10"/>
        <v>1347600</v>
      </c>
      <c r="F56" s="47">
        <f t="shared" si="10"/>
        <v>2896899</v>
      </c>
      <c r="G56" s="47">
        <f t="shared" si="10"/>
        <v>407324</v>
      </c>
      <c r="H56" s="47">
        <f t="shared" si="10"/>
        <v>982855</v>
      </c>
      <c r="I56" s="47">
        <f t="shared" si="10"/>
        <v>6385500</v>
      </c>
      <c r="J56" s="47">
        <f t="shared" si="10"/>
        <v>12968309</v>
      </c>
      <c r="K56" s="47">
        <f t="shared" si="10"/>
        <v>200000</v>
      </c>
      <c r="L56" s="47">
        <f t="shared" si="10"/>
        <v>126976</v>
      </c>
      <c r="M56" s="47">
        <f t="shared" si="10"/>
        <v>77884</v>
      </c>
      <c r="N56" s="47">
        <f t="shared" si="10"/>
        <v>6200000</v>
      </c>
      <c r="O56" s="47">
        <f t="shared" si="10"/>
        <v>699346</v>
      </c>
      <c r="P56" s="47">
        <f t="shared" si="10"/>
        <v>3460696</v>
      </c>
      <c r="Q56" s="47">
        <f t="shared" si="10"/>
        <v>1851966</v>
      </c>
      <c r="R56" s="47">
        <f t="shared" si="10"/>
        <v>22900641</v>
      </c>
      <c r="S56" s="47">
        <f t="shared" si="10"/>
        <v>4798085</v>
      </c>
      <c r="T56" s="47">
        <f t="shared" si="10"/>
        <v>1052317</v>
      </c>
      <c r="U56" s="47">
        <f t="shared" si="10"/>
        <v>473681</v>
      </c>
      <c r="V56" s="47">
        <f t="shared" si="10"/>
        <v>-8778493</v>
      </c>
      <c r="W56" s="48">
        <f>SUM(C56:V56)</f>
        <v>149030525</v>
      </c>
      <c r="X56" s="49">
        <f>F1-W56</f>
        <v>0</v>
      </c>
      <c r="Y56" s="20"/>
    </row>
    <row r="57" spans="1:25" s="2" customFormat="1" x14ac:dyDescent="0.2">
      <c r="A57" s="27"/>
      <c r="B57" s="28" t="s">
        <v>131</v>
      </c>
      <c r="C57" s="50">
        <f t="shared" ref="C57:V57" si="11">SUM(C61:C196)</f>
        <v>80182386</v>
      </c>
      <c r="D57" s="50">
        <f t="shared" si="11"/>
        <v>10796553</v>
      </c>
      <c r="E57" s="50">
        <f t="shared" si="11"/>
        <v>1347600</v>
      </c>
      <c r="F57" s="50">
        <f t="shared" si="11"/>
        <v>2896899</v>
      </c>
      <c r="G57" s="50">
        <f t="shared" si="11"/>
        <v>407324</v>
      </c>
      <c r="H57" s="50">
        <f t="shared" si="11"/>
        <v>982855</v>
      </c>
      <c r="I57" s="50">
        <f t="shared" si="11"/>
        <v>6385500</v>
      </c>
      <c r="J57" s="50">
        <f t="shared" si="11"/>
        <v>12968309</v>
      </c>
      <c r="K57" s="50">
        <f t="shared" si="11"/>
        <v>200000</v>
      </c>
      <c r="L57" s="50">
        <f t="shared" si="11"/>
        <v>126976</v>
      </c>
      <c r="M57" s="50">
        <f t="shared" si="11"/>
        <v>77884</v>
      </c>
      <c r="N57" s="50">
        <f t="shared" si="11"/>
        <v>6200000</v>
      </c>
      <c r="O57" s="50">
        <f t="shared" si="11"/>
        <v>699346</v>
      </c>
      <c r="P57" s="50">
        <f t="shared" si="11"/>
        <v>3460696</v>
      </c>
      <c r="Q57" s="50">
        <f t="shared" si="11"/>
        <v>1851966</v>
      </c>
      <c r="R57" s="50">
        <f t="shared" si="11"/>
        <v>22900641</v>
      </c>
      <c r="S57" s="50">
        <f t="shared" si="11"/>
        <v>4798085</v>
      </c>
      <c r="T57" s="50">
        <f t="shared" si="11"/>
        <v>1052317</v>
      </c>
      <c r="U57" s="50">
        <f t="shared" si="11"/>
        <v>473681</v>
      </c>
      <c r="V57" s="50">
        <f t="shared" si="11"/>
        <v>-8778493</v>
      </c>
      <c r="W57" s="51">
        <f>SUM(C57:V57)</f>
        <v>149030525</v>
      </c>
    </row>
    <row r="58" spans="1:25" s="3" customFormat="1" x14ac:dyDescent="0.2">
      <c r="A58" s="30"/>
      <c r="B58" s="286" t="s">
        <v>132</v>
      </c>
      <c r="C58" s="911">
        <f t="shared" ref="C58:W58" si="12">C56-C57</f>
        <v>0</v>
      </c>
      <c r="D58" s="911">
        <f>D56-D57</f>
        <v>0</v>
      </c>
      <c r="E58" s="911">
        <f t="shared" si="12"/>
        <v>0</v>
      </c>
      <c r="F58" s="911">
        <f t="shared" si="12"/>
        <v>0</v>
      </c>
      <c r="G58" s="911">
        <f t="shared" si="12"/>
        <v>0</v>
      </c>
      <c r="H58" s="911">
        <f t="shared" si="12"/>
        <v>0</v>
      </c>
      <c r="I58" s="911">
        <f t="shared" si="12"/>
        <v>0</v>
      </c>
      <c r="J58" s="911">
        <f t="shared" si="12"/>
        <v>0</v>
      </c>
      <c r="K58" s="911">
        <f t="shared" si="12"/>
        <v>0</v>
      </c>
      <c r="L58" s="911">
        <f t="shared" si="12"/>
        <v>0</v>
      </c>
      <c r="M58" s="911">
        <f t="shared" si="12"/>
        <v>0</v>
      </c>
      <c r="N58" s="911">
        <f t="shared" si="12"/>
        <v>0</v>
      </c>
      <c r="O58" s="911">
        <f t="shared" si="12"/>
        <v>0</v>
      </c>
      <c r="P58" s="911">
        <f t="shared" si="12"/>
        <v>0</v>
      </c>
      <c r="Q58" s="911">
        <f t="shared" si="12"/>
        <v>0</v>
      </c>
      <c r="R58" s="911">
        <f t="shared" si="12"/>
        <v>0</v>
      </c>
      <c r="S58" s="911">
        <f t="shared" si="12"/>
        <v>0</v>
      </c>
      <c r="T58" s="911">
        <f>T56-T57</f>
        <v>0</v>
      </c>
      <c r="U58" s="911">
        <f t="shared" si="12"/>
        <v>0</v>
      </c>
      <c r="V58" s="911">
        <f t="shared" si="12"/>
        <v>0</v>
      </c>
      <c r="W58" s="486">
        <f t="shared" si="12"/>
        <v>0</v>
      </c>
      <c r="X58" s="912">
        <f>W58</f>
        <v>0</v>
      </c>
    </row>
    <row r="59" spans="1:25" x14ac:dyDescent="0.2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4"/>
      <c r="X59" s="32">
        <f>SUM(X56:X58)</f>
        <v>0</v>
      </c>
    </row>
    <row r="60" spans="1:25" x14ac:dyDescent="0.2">
      <c r="B60" s="2" t="s">
        <v>307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4"/>
    </row>
    <row r="61" spans="1:25" x14ac:dyDescent="0.2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4"/>
    </row>
    <row r="62" spans="1:25" x14ac:dyDescent="0.2">
      <c r="A62" s="903">
        <v>100</v>
      </c>
      <c r="B62" s="908" t="s">
        <v>134</v>
      </c>
      <c r="C62" s="913">
        <v>29397220</v>
      </c>
      <c r="D62" s="913">
        <v>0</v>
      </c>
      <c r="E62" s="913">
        <v>472725</v>
      </c>
      <c r="F62" s="913">
        <v>2896899</v>
      </c>
      <c r="G62" s="913">
        <v>0</v>
      </c>
      <c r="H62" s="913">
        <v>0</v>
      </c>
      <c r="I62" s="913">
        <v>2544411</v>
      </c>
      <c r="J62" s="913">
        <v>0</v>
      </c>
      <c r="K62" s="913">
        <v>192700</v>
      </c>
      <c r="L62" s="913">
        <v>32500</v>
      </c>
      <c r="M62" s="913">
        <v>0</v>
      </c>
      <c r="N62" s="913">
        <v>2220000</v>
      </c>
      <c r="O62" s="913">
        <v>0</v>
      </c>
      <c r="P62" s="913">
        <v>0</v>
      </c>
      <c r="Q62" s="913">
        <v>0</v>
      </c>
      <c r="R62" s="913">
        <v>0</v>
      </c>
      <c r="S62" s="913">
        <v>0</v>
      </c>
      <c r="T62" s="913">
        <v>0</v>
      </c>
      <c r="U62" s="913">
        <v>0</v>
      </c>
      <c r="V62" s="913">
        <v>0</v>
      </c>
      <c r="W62" s="913">
        <f t="shared" ref="W62:W106" si="13">SUM(C62:V62)</f>
        <v>37756455</v>
      </c>
    </row>
    <row r="63" spans="1:25" x14ac:dyDescent="0.2">
      <c r="A63" s="903">
        <v>200</v>
      </c>
      <c r="B63" s="908" t="s">
        <v>135</v>
      </c>
      <c r="C63" s="913">
        <v>11000</v>
      </c>
      <c r="D63" s="913">
        <v>0</v>
      </c>
      <c r="E63" s="913">
        <v>0</v>
      </c>
      <c r="F63" s="913">
        <v>0</v>
      </c>
      <c r="G63" s="913">
        <v>0</v>
      </c>
      <c r="H63" s="913">
        <v>0</v>
      </c>
      <c r="I63" s="913">
        <v>692600</v>
      </c>
      <c r="J63" s="913">
        <v>12775166</v>
      </c>
      <c r="K63" s="913">
        <v>0</v>
      </c>
      <c r="L63" s="913">
        <v>13000</v>
      </c>
      <c r="M63" s="913">
        <v>0</v>
      </c>
      <c r="N63" s="913">
        <v>2565865</v>
      </c>
      <c r="O63" s="913">
        <v>383733</v>
      </c>
      <c r="P63" s="913">
        <v>0</v>
      </c>
      <c r="Q63" s="913">
        <v>0</v>
      </c>
      <c r="R63" s="913">
        <v>0</v>
      </c>
      <c r="S63" s="913">
        <v>0</v>
      </c>
      <c r="T63" s="913">
        <v>0</v>
      </c>
      <c r="U63" s="913">
        <v>0</v>
      </c>
      <c r="V63" s="913">
        <v>0</v>
      </c>
      <c r="W63" s="913">
        <f t="shared" si="13"/>
        <v>16441364</v>
      </c>
    </row>
    <row r="64" spans="1:25" hidden="1" x14ac:dyDescent="0.2">
      <c r="A64" s="903" t="s">
        <v>10</v>
      </c>
      <c r="B64" s="908" t="s">
        <v>136</v>
      </c>
      <c r="C64" s="913">
        <v>0</v>
      </c>
      <c r="D64" s="913">
        <v>0</v>
      </c>
      <c r="E64" s="913">
        <v>0</v>
      </c>
      <c r="F64" s="913">
        <v>0</v>
      </c>
      <c r="G64" s="913">
        <v>0</v>
      </c>
      <c r="H64" s="913">
        <v>0</v>
      </c>
      <c r="I64" s="913">
        <v>0</v>
      </c>
      <c r="J64" s="913">
        <v>0</v>
      </c>
      <c r="K64" s="913">
        <v>0</v>
      </c>
      <c r="L64" s="913">
        <v>0</v>
      </c>
      <c r="M64" s="913">
        <v>0</v>
      </c>
      <c r="N64" s="913">
        <v>0</v>
      </c>
      <c r="O64" s="913">
        <v>0</v>
      </c>
      <c r="P64" s="913">
        <v>0</v>
      </c>
      <c r="Q64" s="913">
        <v>0</v>
      </c>
      <c r="R64" s="913">
        <v>0</v>
      </c>
      <c r="S64" s="913">
        <v>0</v>
      </c>
      <c r="T64" s="913">
        <v>0</v>
      </c>
      <c r="U64" s="913">
        <v>0</v>
      </c>
      <c r="V64" s="913">
        <v>0</v>
      </c>
      <c r="W64" s="913">
        <f t="shared" si="13"/>
        <v>0</v>
      </c>
    </row>
    <row r="65" spans="1:23" hidden="1" x14ac:dyDescent="0.2">
      <c r="A65" s="903">
        <v>270</v>
      </c>
      <c r="B65" s="908" t="s">
        <v>137</v>
      </c>
      <c r="C65" s="913">
        <v>0</v>
      </c>
      <c r="D65" s="913">
        <v>0</v>
      </c>
      <c r="E65" s="913">
        <v>0</v>
      </c>
      <c r="F65" s="913">
        <v>0</v>
      </c>
      <c r="G65" s="913">
        <v>0</v>
      </c>
      <c r="H65" s="913">
        <v>0</v>
      </c>
      <c r="I65" s="913">
        <v>319268</v>
      </c>
      <c r="J65" s="913">
        <v>0</v>
      </c>
      <c r="K65" s="913">
        <v>0</v>
      </c>
      <c r="L65" s="913">
        <v>0</v>
      </c>
      <c r="M65" s="913">
        <v>0</v>
      </c>
      <c r="N65" s="913">
        <v>0</v>
      </c>
      <c r="O65" s="913">
        <v>0</v>
      </c>
      <c r="P65" s="913">
        <v>0</v>
      </c>
      <c r="Q65" s="913">
        <v>0</v>
      </c>
      <c r="R65" s="913">
        <v>0</v>
      </c>
      <c r="S65" s="913">
        <v>0</v>
      </c>
      <c r="T65" s="913">
        <v>0</v>
      </c>
      <c r="U65" s="913">
        <v>0</v>
      </c>
      <c r="V65" s="913">
        <v>0</v>
      </c>
      <c r="W65" s="913">
        <f t="shared" si="13"/>
        <v>319268</v>
      </c>
    </row>
    <row r="66" spans="1:23" hidden="1" x14ac:dyDescent="0.2">
      <c r="A66" s="903" t="s">
        <v>10</v>
      </c>
      <c r="B66" s="908" t="s">
        <v>138</v>
      </c>
      <c r="C66" s="913">
        <v>0</v>
      </c>
      <c r="D66" s="913">
        <v>0</v>
      </c>
      <c r="E66" s="913">
        <v>0</v>
      </c>
      <c r="F66" s="913">
        <v>0</v>
      </c>
      <c r="G66" s="913">
        <v>0</v>
      </c>
      <c r="H66" s="913">
        <v>0</v>
      </c>
      <c r="I66" s="913">
        <v>0</v>
      </c>
      <c r="J66" s="913">
        <v>0</v>
      </c>
      <c r="K66" s="913">
        <v>0</v>
      </c>
      <c r="L66" s="913">
        <v>0</v>
      </c>
      <c r="M66" s="913">
        <v>0</v>
      </c>
      <c r="N66" s="913">
        <v>0</v>
      </c>
      <c r="O66" s="913">
        <v>0</v>
      </c>
      <c r="P66" s="913">
        <v>0</v>
      </c>
      <c r="Q66" s="913">
        <v>0</v>
      </c>
      <c r="R66" s="913">
        <v>0</v>
      </c>
      <c r="S66" s="913">
        <v>0</v>
      </c>
      <c r="T66" s="913">
        <v>0</v>
      </c>
      <c r="U66" s="913">
        <v>0</v>
      </c>
      <c r="V66" s="913">
        <v>0</v>
      </c>
      <c r="W66" s="913">
        <f t="shared" si="13"/>
        <v>0</v>
      </c>
    </row>
    <row r="67" spans="1:23" x14ac:dyDescent="0.2">
      <c r="A67" s="903">
        <v>300</v>
      </c>
      <c r="B67" s="908" t="s">
        <v>139</v>
      </c>
      <c r="C67" s="913">
        <v>2802411</v>
      </c>
      <c r="D67" s="913">
        <v>0</v>
      </c>
      <c r="E67" s="913">
        <v>357048</v>
      </c>
      <c r="F67" s="913">
        <v>0</v>
      </c>
      <c r="G67" s="913">
        <v>0</v>
      </c>
      <c r="H67" s="913">
        <v>0</v>
      </c>
      <c r="I67" s="913">
        <v>656500</v>
      </c>
      <c r="J67" s="913">
        <v>0</v>
      </c>
      <c r="K67" s="913">
        <v>0</v>
      </c>
      <c r="L67" s="913">
        <v>0</v>
      </c>
      <c r="M67" s="913">
        <v>0</v>
      </c>
      <c r="N67" s="913">
        <v>138935</v>
      </c>
      <c r="O67" s="913">
        <v>0</v>
      </c>
      <c r="P67" s="913">
        <v>0</v>
      </c>
      <c r="Q67" s="913">
        <v>0</v>
      </c>
      <c r="R67" s="913">
        <v>0</v>
      </c>
      <c r="S67" s="913">
        <v>0</v>
      </c>
      <c r="T67" s="913">
        <v>0</v>
      </c>
      <c r="U67" s="913">
        <v>0</v>
      </c>
      <c r="V67" s="913">
        <v>0</v>
      </c>
      <c r="W67" s="913">
        <f t="shared" si="13"/>
        <v>3954894</v>
      </c>
    </row>
    <row r="68" spans="1:23" x14ac:dyDescent="0.2">
      <c r="A68" s="903">
        <v>400</v>
      </c>
      <c r="B68" s="908" t="s">
        <v>140</v>
      </c>
      <c r="C68" s="913">
        <v>3400096</v>
      </c>
      <c r="D68" s="913">
        <v>0</v>
      </c>
      <c r="E68" s="913">
        <v>0</v>
      </c>
      <c r="F68" s="913">
        <v>0</v>
      </c>
      <c r="G68" s="913">
        <v>0</v>
      </c>
      <c r="H68" s="913">
        <v>0</v>
      </c>
      <c r="I68" s="913">
        <v>136691</v>
      </c>
      <c r="J68" s="913">
        <v>0</v>
      </c>
      <c r="K68" s="913">
        <v>0</v>
      </c>
      <c r="L68" s="913">
        <v>72456</v>
      </c>
      <c r="M68" s="913">
        <v>72000</v>
      </c>
      <c r="N68" s="913">
        <v>262500</v>
      </c>
      <c r="O68" s="913">
        <v>0</v>
      </c>
      <c r="P68" s="913">
        <v>0</v>
      </c>
      <c r="Q68" s="913">
        <v>0</v>
      </c>
      <c r="R68" s="913">
        <v>0</v>
      </c>
      <c r="S68" s="913">
        <v>0</v>
      </c>
      <c r="T68" s="913">
        <v>0</v>
      </c>
      <c r="U68" s="913">
        <v>0</v>
      </c>
      <c r="V68" s="913">
        <v>0</v>
      </c>
      <c r="W68" s="913">
        <f t="shared" si="13"/>
        <v>3943743</v>
      </c>
    </row>
    <row r="69" spans="1:23" hidden="1" x14ac:dyDescent="0.2">
      <c r="A69" s="903" t="s">
        <v>10</v>
      </c>
      <c r="B69" s="908" t="s">
        <v>141</v>
      </c>
      <c r="C69" s="913">
        <v>0</v>
      </c>
      <c r="D69" s="913">
        <v>0</v>
      </c>
      <c r="E69" s="913">
        <v>0</v>
      </c>
      <c r="F69" s="913">
        <v>0</v>
      </c>
      <c r="G69" s="913">
        <v>0</v>
      </c>
      <c r="H69" s="913">
        <v>0</v>
      </c>
      <c r="I69" s="913">
        <v>0</v>
      </c>
      <c r="J69" s="913">
        <v>0</v>
      </c>
      <c r="K69" s="913">
        <v>0</v>
      </c>
      <c r="L69" s="913">
        <v>0</v>
      </c>
      <c r="M69" s="913">
        <v>0</v>
      </c>
      <c r="N69" s="913">
        <v>0</v>
      </c>
      <c r="O69" s="913">
        <v>0</v>
      </c>
      <c r="P69" s="913">
        <v>0</v>
      </c>
      <c r="Q69" s="913">
        <v>0</v>
      </c>
      <c r="R69" s="913">
        <v>0</v>
      </c>
      <c r="S69" s="913">
        <v>0</v>
      </c>
      <c r="T69" s="913">
        <v>0</v>
      </c>
      <c r="U69" s="913">
        <v>0</v>
      </c>
      <c r="V69" s="913">
        <v>0</v>
      </c>
      <c r="W69" s="913">
        <f t="shared" si="13"/>
        <v>0</v>
      </c>
    </row>
    <row r="70" spans="1:23" hidden="1" x14ac:dyDescent="0.2">
      <c r="A70" s="903" t="s">
        <v>10</v>
      </c>
      <c r="B70" s="908" t="s">
        <v>142</v>
      </c>
      <c r="C70" s="913">
        <v>0</v>
      </c>
      <c r="D70" s="913">
        <v>0</v>
      </c>
      <c r="E70" s="913">
        <v>0</v>
      </c>
      <c r="F70" s="913">
        <v>0</v>
      </c>
      <c r="G70" s="913">
        <v>0</v>
      </c>
      <c r="H70" s="913">
        <v>0</v>
      </c>
      <c r="I70" s="913">
        <v>0</v>
      </c>
      <c r="J70" s="913">
        <v>0</v>
      </c>
      <c r="K70" s="913">
        <v>0</v>
      </c>
      <c r="L70" s="913">
        <v>0</v>
      </c>
      <c r="M70" s="913">
        <v>0</v>
      </c>
      <c r="N70" s="913">
        <v>0</v>
      </c>
      <c r="O70" s="913">
        <v>0</v>
      </c>
      <c r="P70" s="913">
        <v>0</v>
      </c>
      <c r="Q70" s="913">
        <v>0</v>
      </c>
      <c r="R70" s="913">
        <v>0</v>
      </c>
      <c r="S70" s="913">
        <v>0</v>
      </c>
      <c r="T70" s="913">
        <v>0</v>
      </c>
      <c r="U70" s="913">
        <v>0</v>
      </c>
      <c r="V70" s="913">
        <v>0</v>
      </c>
      <c r="W70" s="913">
        <f t="shared" si="13"/>
        <v>0</v>
      </c>
    </row>
    <row r="71" spans="1:23" hidden="1" x14ac:dyDescent="0.2">
      <c r="A71" s="903">
        <v>440</v>
      </c>
      <c r="B71" s="908" t="s">
        <v>143</v>
      </c>
      <c r="C71" s="913">
        <v>0</v>
      </c>
      <c r="D71" s="913">
        <v>0</v>
      </c>
      <c r="E71" s="913">
        <v>0</v>
      </c>
      <c r="F71" s="913">
        <v>0</v>
      </c>
      <c r="G71" s="913">
        <v>0</v>
      </c>
      <c r="H71" s="913">
        <v>0</v>
      </c>
      <c r="I71" s="913">
        <v>0</v>
      </c>
      <c r="J71" s="913">
        <v>0</v>
      </c>
      <c r="K71" s="913">
        <v>0</v>
      </c>
      <c r="L71" s="913">
        <v>0</v>
      </c>
      <c r="M71" s="913">
        <v>0</v>
      </c>
      <c r="N71" s="913">
        <v>0</v>
      </c>
      <c r="O71" s="913">
        <v>0</v>
      </c>
      <c r="P71" s="913">
        <v>0</v>
      </c>
      <c r="Q71" s="913">
        <v>0</v>
      </c>
      <c r="R71" s="913">
        <v>0</v>
      </c>
      <c r="S71" s="913">
        <v>0</v>
      </c>
      <c r="T71" s="913">
        <v>0</v>
      </c>
      <c r="U71" s="913">
        <v>0</v>
      </c>
      <c r="V71" s="913">
        <v>0</v>
      </c>
      <c r="W71" s="913">
        <f t="shared" si="13"/>
        <v>0</v>
      </c>
    </row>
    <row r="72" spans="1:23" hidden="1" x14ac:dyDescent="0.2">
      <c r="A72" s="903">
        <v>500</v>
      </c>
      <c r="B72" s="908" t="s">
        <v>144</v>
      </c>
      <c r="C72" s="913">
        <v>0</v>
      </c>
      <c r="D72" s="913">
        <v>0</v>
      </c>
      <c r="E72" s="913">
        <v>0</v>
      </c>
      <c r="F72" s="913">
        <v>0</v>
      </c>
      <c r="G72" s="913">
        <v>0</v>
      </c>
      <c r="H72" s="913">
        <v>0</v>
      </c>
      <c r="I72" s="913">
        <v>0</v>
      </c>
      <c r="J72" s="913">
        <v>0</v>
      </c>
      <c r="K72" s="913">
        <v>0</v>
      </c>
      <c r="L72" s="913">
        <v>0</v>
      </c>
      <c r="M72" s="913">
        <v>0</v>
      </c>
      <c r="N72" s="913">
        <v>0</v>
      </c>
      <c r="O72" s="913">
        <v>0</v>
      </c>
      <c r="P72" s="913">
        <v>0</v>
      </c>
      <c r="Q72" s="913">
        <v>0</v>
      </c>
      <c r="R72" s="913">
        <v>0</v>
      </c>
      <c r="S72" s="913">
        <v>0</v>
      </c>
      <c r="T72" s="913">
        <v>0</v>
      </c>
      <c r="U72" s="913">
        <v>0</v>
      </c>
      <c r="V72" s="913">
        <v>0</v>
      </c>
      <c r="W72" s="913">
        <f t="shared" si="13"/>
        <v>0</v>
      </c>
    </row>
    <row r="73" spans="1:23" x14ac:dyDescent="0.2">
      <c r="A73" s="903">
        <v>600</v>
      </c>
      <c r="B73" s="908" t="s">
        <v>145</v>
      </c>
      <c r="C73" s="913">
        <v>0</v>
      </c>
      <c r="D73" s="913">
        <v>0</v>
      </c>
      <c r="E73" s="913">
        <v>0</v>
      </c>
      <c r="F73" s="913">
        <v>0</v>
      </c>
      <c r="G73" s="913">
        <v>407324</v>
      </c>
      <c r="H73" s="913">
        <v>982855</v>
      </c>
      <c r="I73" s="913">
        <v>0</v>
      </c>
      <c r="J73" s="913">
        <v>0</v>
      </c>
      <c r="K73" s="913">
        <v>0</v>
      </c>
      <c r="L73" s="913">
        <v>0</v>
      </c>
      <c r="M73" s="913">
        <v>0</v>
      </c>
      <c r="N73" s="913">
        <v>0</v>
      </c>
      <c r="O73" s="913">
        <v>0</v>
      </c>
      <c r="P73" s="913">
        <v>0</v>
      </c>
      <c r="Q73" s="913">
        <v>0</v>
      </c>
      <c r="R73" s="913">
        <v>0</v>
      </c>
      <c r="S73" s="913">
        <v>0</v>
      </c>
      <c r="T73" s="913">
        <v>0</v>
      </c>
      <c r="U73" s="913">
        <v>0</v>
      </c>
      <c r="V73" s="913">
        <v>0</v>
      </c>
      <c r="W73" s="913">
        <f t="shared" si="13"/>
        <v>1390179</v>
      </c>
    </row>
    <row r="74" spans="1:23" x14ac:dyDescent="0.2">
      <c r="A74" s="903">
        <v>800</v>
      </c>
      <c r="B74" s="908" t="s">
        <v>146</v>
      </c>
      <c r="C74" s="913">
        <v>54226</v>
      </c>
      <c r="D74" s="913">
        <v>0</v>
      </c>
      <c r="E74" s="913">
        <v>0</v>
      </c>
      <c r="F74" s="913">
        <v>0</v>
      </c>
      <c r="G74" s="913">
        <v>0</v>
      </c>
      <c r="H74" s="913">
        <v>0</v>
      </c>
      <c r="I74" s="913">
        <v>0</v>
      </c>
      <c r="J74" s="913">
        <v>0</v>
      </c>
      <c r="K74" s="913">
        <v>0</v>
      </c>
      <c r="L74" s="913">
        <v>0</v>
      </c>
      <c r="M74" s="913">
        <v>0</v>
      </c>
      <c r="N74" s="913">
        <v>40500</v>
      </c>
      <c r="O74" s="913">
        <v>0</v>
      </c>
      <c r="P74" s="913">
        <v>0</v>
      </c>
      <c r="Q74" s="913">
        <v>0</v>
      </c>
      <c r="R74" s="913">
        <v>0</v>
      </c>
      <c r="S74" s="913">
        <v>0</v>
      </c>
      <c r="T74" s="913">
        <v>0</v>
      </c>
      <c r="U74" s="913">
        <v>0</v>
      </c>
      <c r="V74" s="913">
        <v>0</v>
      </c>
      <c r="W74" s="913">
        <f t="shared" si="13"/>
        <v>94726</v>
      </c>
    </row>
    <row r="75" spans="1:23" x14ac:dyDescent="0.2">
      <c r="A75" s="903">
        <v>910</v>
      </c>
      <c r="B75" s="908" t="s">
        <v>147</v>
      </c>
      <c r="C75" s="913">
        <v>184277</v>
      </c>
      <c r="D75" s="913">
        <v>0</v>
      </c>
      <c r="E75" s="913">
        <v>0</v>
      </c>
      <c r="F75" s="913">
        <v>0</v>
      </c>
      <c r="G75" s="913">
        <v>0</v>
      </c>
      <c r="H75" s="913">
        <v>0</v>
      </c>
      <c r="I75" s="913">
        <v>0</v>
      </c>
      <c r="J75" s="913">
        <v>0</v>
      </c>
      <c r="K75" s="913">
        <v>0</v>
      </c>
      <c r="L75" s="913">
        <v>0</v>
      </c>
      <c r="M75" s="913">
        <v>0</v>
      </c>
      <c r="N75" s="913">
        <v>0</v>
      </c>
      <c r="O75" s="913">
        <v>0</v>
      </c>
      <c r="P75" s="913">
        <v>0</v>
      </c>
      <c r="Q75" s="913">
        <v>0</v>
      </c>
      <c r="R75" s="913">
        <v>0</v>
      </c>
      <c r="S75" s="913">
        <v>0</v>
      </c>
      <c r="T75" s="913">
        <v>0</v>
      </c>
      <c r="U75" s="913">
        <v>0</v>
      </c>
      <c r="V75" s="913">
        <v>0</v>
      </c>
      <c r="W75" s="913">
        <f t="shared" si="13"/>
        <v>184277</v>
      </c>
    </row>
    <row r="76" spans="1:23" x14ac:dyDescent="0.2">
      <c r="A76" s="903">
        <v>920</v>
      </c>
      <c r="B76" s="908" t="s">
        <v>148</v>
      </c>
      <c r="C76" s="913">
        <v>521087</v>
      </c>
      <c r="D76" s="913">
        <v>0</v>
      </c>
      <c r="E76" s="913">
        <v>0</v>
      </c>
      <c r="F76" s="913">
        <v>0</v>
      </c>
      <c r="G76" s="913">
        <v>0</v>
      </c>
      <c r="H76" s="913">
        <v>0</v>
      </c>
      <c r="I76" s="913">
        <v>0</v>
      </c>
      <c r="J76" s="913">
        <v>0</v>
      </c>
      <c r="K76" s="913">
        <v>0</v>
      </c>
      <c r="L76" s="913">
        <v>0</v>
      </c>
      <c r="M76" s="913">
        <v>0</v>
      </c>
      <c r="N76" s="913">
        <v>0</v>
      </c>
      <c r="O76" s="913">
        <v>0</v>
      </c>
      <c r="P76" s="913">
        <v>0</v>
      </c>
      <c r="Q76" s="913">
        <v>0</v>
      </c>
      <c r="R76" s="913">
        <v>0</v>
      </c>
      <c r="S76" s="913">
        <v>0</v>
      </c>
      <c r="T76" s="913">
        <v>0</v>
      </c>
      <c r="U76" s="913">
        <v>0</v>
      </c>
      <c r="V76" s="913">
        <v>0</v>
      </c>
      <c r="W76" s="913">
        <f t="shared" si="13"/>
        <v>521087</v>
      </c>
    </row>
    <row r="77" spans="1:23" x14ac:dyDescent="0.2">
      <c r="A77" s="903"/>
      <c r="B77" s="908"/>
      <c r="C77" s="913"/>
      <c r="D77" s="913"/>
      <c r="E77" s="913"/>
      <c r="F77" s="913"/>
      <c r="G77" s="913"/>
      <c r="H77" s="913"/>
      <c r="I77" s="913"/>
      <c r="J77" s="913"/>
      <c r="K77" s="913"/>
      <c r="L77" s="913"/>
      <c r="M77" s="913"/>
      <c r="N77" s="913"/>
      <c r="O77" s="913"/>
      <c r="P77" s="913"/>
      <c r="Q77" s="913"/>
      <c r="R77" s="913"/>
      <c r="S77" s="913"/>
      <c r="T77" s="913"/>
      <c r="U77" s="913"/>
      <c r="V77" s="913"/>
      <c r="W77" s="913">
        <f t="shared" si="13"/>
        <v>0</v>
      </c>
    </row>
    <row r="78" spans="1:23" x14ac:dyDescent="0.2">
      <c r="A78" s="903" t="s">
        <v>149</v>
      </c>
      <c r="B78" s="908" t="s">
        <v>150</v>
      </c>
      <c r="C78" s="913"/>
      <c r="D78" s="913"/>
      <c r="E78" s="913"/>
      <c r="F78" s="913"/>
      <c r="G78" s="913"/>
      <c r="H78" s="913"/>
      <c r="I78" s="913"/>
      <c r="J78" s="913"/>
      <c r="K78" s="913"/>
      <c r="L78" s="913"/>
      <c r="M78" s="913"/>
      <c r="N78" s="913"/>
      <c r="O78" s="913"/>
      <c r="P78" s="913"/>
      <c r="Q78" s="913"/>
      <c r="R78" s="913"/>
      <c r="S78" s="913"/>
      <c r="T78" s="913"/>
      <c r="U78" s="913"/>
      <c r="V78" s="913"/>
      <c r="W78" s="913">
        <f t="shared" si="13"/>
        <v>0</v>
      </c>
    </row>
    <row r="79" spans="1:23" x14ac:dyDescent="0.2">
      <c r="A79" s="903">
        <v>2100</v>
      </c>
      <c r="B79" s="908" t="s">
        <v>151</v>
      </c>
      <c r="C79" s="913">
        <v>3639403</v>
      </c>
      <c r="D79" s="913">
        <v>0</v>
      </c>
      <c r="E79" s="913">
        <v>432764</v>
      </c>
      <c r="F79" s="913">
        <v>0</v>
      </c>
      <c r="G79" s="913">
        <v>0</v>
      </c>
      <c r="H79" s="913">
        <v>0</v>
      </c>
      <c r="I79" s="913">
        <v>223697</v>
      </c>
      <c r="J79" s="913">
        <v>0</v>
      </c>
      <c r="K79" s="913">
        <v>0</v>
      </c>
      <c r="L79" s="913">
        <v>5765</v>
      </c>
      <c r="M79" s="913">
        <v>0</v>
      </c>
      <c r="N79" s="913">
        <v>502000</v>
      </c>
      <c r="O79" s="913">
        <v>0</v>
      </c>
      <c r="P79" s="913">
        <v>0</v>
      </c>
      <c r="Q79" s="913">
        <v>0</v>
      </c>
      <c r="R79" s="913">
        <v>0</v>
      </c>
      <c r="S79" s="913">
        <v>0</v>
      </c>
      <c r="T79" s="913">
        <v>0</v>
      </c>
      <c r="U79" s="913">
        <v>0</v>
      </c>
      <c r="V79" s="913">
        <v>0</v>
      </c>
      <c r="W79" s="913">
        <f t="shared" si="13"/>
        <v>4803629</v>
      </c>
    </row>
    <row r="80" spans="1:23" x14ac:dyDescent="0.2">
      <c r="A80" s="903">
        <v>2200</v>
      </c>
      <c r="B80" s="908" t="s">
        <v>152</v>
      </c>
      <c r="C80" s="913">
        <v>1975764</v>
      </c>
      <c r="D80" s="913">
        <v>0</v>
      </c>
      <c r="E80" s="913">
        <v>47707</v>
      </c>
      <c r="F80" s="913">
        <v>0</v>
      </c>
      <c r="G80" s="913">
        <v>0</v>
      </c>
      <c r="H80" s="913">
        <v>0</v>
      </c>
      <c r="I80" s="913">
        <v>307575</v>
      </c>
      <c r="J80" s="913">
        <v>0</v>
      </c>
      <c r="K80" s="913">
        <v>0</v>
      </c>
      <c r="L80" s="913">
        <v>3255</v>
      </c>
      <c r="M80" s="913">
        <v>0</v>
      </c>
      <c r="N80" s="913">
        <v>370200</v>
      </c>
      <c r="O80" s="913">
        <v>0</v>
      </c>
      <c r="P80" s="913">
        <v>0</v>
      </c>
      <c r="Q80" s="913">
        <v>0</v>
      </c>
      <c r="R80" s="913">
        <v>0</v>
      </c>
      <c r="S80" s="913">
        <v>0</v>
      </c>
      <c r="T80" s="913">
        <v>0</v>
      </c>
      <c r="U80" s="913">
        <v>0</v>
      </c>
      <c r="V80" s="913">
        <v>0</v>
      </c>
      <c r="W80" s="913">
        <f t="shared" si="13"/>
        <v>2704501</v>
      </c>
    </row>
    <row r="81" spans="1:23" x14ac:dyDescent="0.2">
      <c r="A81" s="903">
        <v>2300</v>
      </c>
      <c r="B81" s="908" t="s">
        <v>153</v>
      </c>
      <c r="C81" s="913">
        <v>582739</v>
      </c>
      <c r="D81" s="913">
        <v>0</v>
      </c>
      <c r="E81" s="913">
        <v>0</v>
      </c>
      <c r="F81" s="913">
        <v>0</v>
      </c>
      <c r="G81" s="913">
        <v>0</v>
      </c>
      <c r="H81" s="913">
        <v>0</v>
      </c>
      <c r="I81" s="913">
        <v>0</v>
      </c>
      <c r="J81" s="913">
        <v>0</v>
      </c>
      <c r="K81" s="913">
        <v>0</v>
      </c>
      <c r="L81" s="913">
        <v>0</v>
      </c>
      <c r="M81" s="913">
        <v>0</v>
      </c>
      <c r="N81" s="913">
        <v>0</v>
      </c>
      <c r="O81" s="913">
        <v>0</v>
      </c>
      <c r="P81" s="913">
        <v>0</v>
      </c>
      <c r="Q81" s="913">
        <v>0</v>
      </c>
      <c r="R81" s="913">
        <v>0</v>
      </c>
      <c r="S81" s="913">
        <v>0</v>
      </c>
      <c r="T81" s="913">
        <v>0</v>
      </c>
      <c r="U81" s="913">
        <v>0</v>
      </c>
      <c r="V81" s="913">
        <v>0</v>
      </c>
      <c r="W81" s="913">
        <f t="shared" si="13"/>
        <v>582739</v>
      </c>
    </row>
    <row r="82" spans="1:23" x14ac:dyDescent="0.2">
      <c r="A82" s="903">
        <v>2400</v>
      </c>
      <c r="B82" s="908" t="s">
        <v>154</v>
      </c>
      <c r="C82" s="913">
        <v>4552443</v>
      </c>
      <c r="D82" s="913">
        <v>0</v>
      </c>
      <c r="E82" s="913">
        <v>0</v>
      </c>
      <c r="F82" s="913">
        <v>0</v>
      </c>
      <c r="G82" s="913">
        <v>0</v>
      </c>
      <c r="H82" s="913">
        <v>0</v>
      </c>
      <c r="I82" s="913">
        <v>0</v>
      </c>
      <c r="J82" s="913">
        <v>0</v>
      </c>
      <c r="K82" s="913">
        <v>0</v>
      </c>
      <c r="L82" s="913">
        <v>0</v>
      </c>
      <c r="M82" s="913">
        <v>0</v>
      </c>
      <c r="N82" s="913">
        <v>0</v>
      </c>
      <c r="O82" s="913">
        <v>0</v>
      </c>
      <c r="P82" s="913">
        <v>0</v>
      </c>
      <c r="Q82" s="913">
        <v>0</v>
      </c>
      <c r="R82" s="913">
        <v>0</v>
      </c>
      <c r="S82" s="913">
        <v>0</v>
      </c>
      <c r="T82" s="913">
        <v>0</v>
      </c>
      <c r="U82" s="913">
        <v>0</v>
      </c>
      <c r="V82" s="913">
        <v>0</v>
      </c>
      <c r="W82" s="913">
        <f t="shared" si="13"/>
        <v>4552443</v>
      </c>
    </row>
    <row r="83" spans="1:23" x14ac:dyDescent="0.2">
      <c r="A83" s="903">
        <v>2500</v>
      </c>
      <c r="B83" s="908" t="s">
        <v>155</v>
      </c>
      <c r="C83" s="913">
        <v>4426487</v>
      </c>
      <c r="D83" s="913">
        <v>0</v>
      </c>
      <c r="E83" s="913">
        <v>0</v>
      </c>
      <c r="F83" s="913">
        <v>0</v>
      </c>
      <c r="G83" s="913">
        <v>0</v>
      </c>
      <c r="H83" s="913">
        <v>0</v>
      </c>
      <c r="I83" s="913">
        <v>0</v>
      </c>
      <c r="J83" s="913">
        <v>0</v>
      </c>
      <c r="K83" s="913">
        <v>0</v>
      </c>
      <c r="L83" s="913">
        <v>0</v>
      </c>
      <c r="M83" s="913">
        <v>0</v>
      </c>
      <c r="N83" s="913">
        <v>0</v>
      </c>
      <c r="O83" s="913">
        <v>0</v>
      </c>
      <c r="P83" s="913">
        <v>0</v>
      </c>
      <c r="Q83" s="913">
        <v>0</v>
      </c>
      <c r="R83" s="913">
        <v>0</v>
      </c>
      <c r="S83" s="913">
        <v>0</v>
      </c>
      <c r="T83" s="913">
        <v>0</v>
      </c>
      <c r="U83" s="913">
        <v>0</v>
      </c>
      <c r="V83" s="913">
        <v>0</v>
      </c>
      <c r="W83" s="913">
        <f t="shared" si="13"/>
        <v>4426487</v>
      </c>
    </row>
    <row r="84" spans="1:23" x14ac:dyDescent="0.2">
      <c r="A84" s="903">
        <v>2600</v>
      </c>
      <c r="B84" s="908" t="s">
        <v>156</v>
      </c>
      <c r="C84" s="913">
        <v>6667478</v>
      </c>
      <c r="D84" s="913">
        <v>0</v>
      </c>
      <c r="E84" s="913">
        <v>0</v>
      </c>
      <c r="F84" s="913">
        <v>0</v>
      </c>
      <c r="G84" s="913">
        <v>0</v>
      </c>
      <c r="H84" s="913">
        <v>0</v>
      </c>
      <c r="I84" s="913">
        <v>0</v>
      </c>
      <c r="J84" s="913">
        <v>0</v>
      </c>
      <c r="K84" s="913">
        <v>6500</v>
      </c>
      <c r="L84" s="913">
        <v>0</v>
      </c>
      <c r="M84" s="913">
        <v>0</v>
      </c>
      <c r="N84" s="913">
        <v>0</v>
      </c>
      <c r="O84" s="913">
        <v>0</v>
      </c>
      <c r="P84" s="913">
        <v>0</v>
      </c>
      <c r="Q84" s="913">
        <v>0</v>
      </c>
      <c r="R84" s="913">
        <v>0</v>
      </c>
      <c r="S84" s="913">
        <v>0</v>
      </c>
      <c r="T84" s="913">
        <v>0</v>
      </c>
      <c r="U84" s="913">
        <v>0</v>
      </c>
      <c r="V84" s="913">
        <v>0</v>
      </c>
      <c r="W84" s="913">
        <f t="shared" si="13"/>
        <v>6673978</v>
      </c>
    </row>
    <row r="85" spans="1:23" x14ac:dyDescent="0.2">
      <c r="A85" s="903">
        <v>2700</v>
      </c>
      <c r="B85" s="908" t="s">
        <v>157</v>
      </c>
      <c r="C85" s="913">
        <v>1937971</v>
      </c>
      <c r="D85" s="913">
        <v>0</v>
      </c>
      <c r="E85" s="913">
        <v>15756</v>
      </c>
      <c r="F85" s="913">
        <v>0</v>
      </c>
      <c r="G85" s="913">
        <v>0</v>
      </c>
      <c r="H85" s="913">
        <v>0</v>
      </c>
      <c r="I85" s="913">
        <v>25000</v>
      </c>
      <c r="J85" s="913">
        <v>0</v>
      </c>
      <c r="K85" s="913">
        <v>250</v>
      </c>
      <c r="L85" s="913">
        <v>0</v>
      </c>
      <c r="M85" s="913">
        <v>0</v>
      </c>
      <c r="N85" s="913">
        <v>100000</v>
      </c>
      <c r="O85" s="913">
        <v>0</v>
      </c>
      <c r="P85" s="913">
        <v>0</v>
      </c>
      <c r="Q85" s="913">
        <v>0</v>
      </c>
      <c r="R85" s="913">
        <v>0</v>
      </c>
      <c r="S85" s="913">
        <v>0</v>
      </c>
      <c r="T85" s="913">
        <v>0</v>
      </c>
      <c r="U85" s="913">
        <v>0</v>
      </c>
      <c r="V85" s="913">
        <v>0</v>
      </c>
      <c r="W85" s="913">
        <f t="shared" si="13"/>
        <v>2078977</v>
      </c>
    </row>
    <row r="86" spans="1:23" x14ac:dyDescent="0.2">
      <c r="A86" s="903">
        <v>2900</v>
      </c>
      <c r="B86" s="908" t="s">
        <v>158</v>
      </c>
      <c r="C86" s="913">
        <v>0</v>
      </c>
      <c r="D86" s="913">
        <v>0</v>
      </c>
      <c r="E86" s="913">
        <v>21600</v>
      </c>
      <c r="F86" s="913">
        <v>0</v>
      </c>
      <c r="G86" s="913">
        <v>0</v>
      </c>
      <c r="H86" s="913">
        <v>0</v>
      </c>
      <c r="I86" s="913">
        <v>1479758</v>
      </c>
      <c r="J86" s="913">
        <v>0</v>
      </c>
      <c r="K86" s="913">
        <v>550</v>
      </c>
      <c r="L86" s="913">
        <v>0</v>
      </c>
      <c r="M86" s="913">
        <v>0</v>
      </c>
      <c r="N86" s="913">
        <v>0</v>
      </c>
      <c r="O86" s="913">
        <v>0</v>
      </c>
      <c r="P86" s="913">
        <v>0</v>
      </c>
      <c r="Q86" s="913">
        <v>0</v>
      </c>
      <c r="R86" s="913">
        <v>0</v>
      </c>
      <c r="S86" s="913">
        <v>0</v>
      </c>
      <c r="T86" s="913">
        <v>0</v>
      </c>
      <c r="U86" s="913">
        <v>0</v>
      </c>
      <c r="V86" s="913">
        <v>0</v>
      </c>
      <c r="W86" s="913">
        <f t="shared" si="13"/>
        <v>1501908</v>
      </c>
    </row>
    <row r="87" spans="1:23" x14ac:dyDescent="0.2">
      <c r="A87" s="903">
        <v>3000</v>
      </c>
      <c r="B87" s="908" t="s">
        <v>159</v>
      </c>
      <c r="C87" s="913">
        <v>80071</v>
      </c>
      <c r="D87" s="913">
        <v>0</v>
      </c>
      <c r="E87" s="913">
        <v>0</v>
      </c>
      <c r="F87" s="913">
        <v>0</v>
      </c>
      <c r="G87" s="913">
        <v>0</v>
      </c>
      <c r="H87" s="913">
        <v>0</v>
      </c>
      <c r="I87" s="913">
        <v>0</v>
      </c>
      <c r="J87" s="913">
        <v>0</v>
      </c>
      <c r="K87" s="913">
        <v>0</v>
      </c>
      <c r="L87" s="913">
        <v>0</v>
      </c>
      <c r="M87" s="913">
        <v>0</v>
      </c>
      <c r="N87" s="913">
        <v>0</v>
      </c>
      <c r="O87" s="913">
        <v>0</v>
      </c>
      <c r="P87" s="913">
        <v>0</v>
      </c>
      <c r="Q87" s="913">
        <v>0</v>
      </c>
      <c r="R87" s="913">
        <v>0</v>
      </c>
      <c r="S87" s="913">
        <v>0</v>
      </c>
      <c r="T87" s="913">
        <v>0</v>
      </c>
      <c r="U87" s="913">
        <v>0</v>
      </c>
      <c r="V87" s="913">
        <v>0</v>
      </c>
      <c r="W87" s="913">
        <f t="shared" si="13"/>
        <v>80071</v>
      </c>
    </row>
    <row r="88" spans="1:23" x14ac:dyDescent="0.2">
      <c r="A88" s="903">
        <v>3100</v>
      </c>
      <c r="B88" s="908" t="s">
        <v>160</v>
      </c>
      <c r="C88" s="913">
        <v>0</v>
      </c>
      <c r="D88" s="913">
        <v>0</v>
      </c>
      <c r="E88" s="913">
        <v>0</v>
      </c>
      <c r="F88" s="913">
        <v>0</v>
      </c>
      <c r="G88" s="913">
        <v>0</v>
      </c>
      <c r="H88" s="913">
        <v>0</v>
      </c>
      <c r="I88" s="913">
        <v>0</v>
      </c>
      <c r="J88" s="913">
        <v>0</v>
      </c>
      <c r="K88" s="913">
        <v>0</v>
      </c>
      <c r="L88" s="913">
        <v>0</v>
      </c>
      <c r="M88" s="913">
        <v>0</v>
      </c>
      <c r="N88" s="913">
        <v>0</v>
      </c>
      <c r="O88" s="913">
        <v>0</v>
      </c>
      <c r="P88" s="913">
        <v>3254000</v>
      </c>
      <c r="Q88" s="913">
        <v>0</v>
      </c>
      <c r="R88" s="913">
        <v>0</v>
      </c>
      <c r="S88" s="913">
        <v>0</v>
      </c>
      <c r="T88" s="913">
        <v>0</v>
      </c>
      <c r="U88" s="913">
        <v>0</v>
      </c>
      <c r="V88" s="913">
        <v>0</v>
      </c>
      <c r="W88" s="913">
        <f t="shared" si="13"/>
        <v>3254000</v>
      </c>
    </row>
    <row r="89" spans="1:23" hidden="1" x14ac:dyDescent="0.2">
      <c r="A89" s="903">
        <v>3200</v>
      </c>
      <c r="B89" s="908" t="s">
        <v>161</v>
      </c>
      <c r="C89" s="913">
        <v>0</v>
      </c>
      <c r="D89" s="913">
        <v>0</v>
      </c>
      <c r="E89" s="913">
        <v>0</v>
      </c>
      <c r="F89" s="913">
        <v>0</v>
      </c>
      <c r="G89" s="913">
        <v>0</v>
      </c>
      <c r="H89" s="913">
        <v>0</v>
      </c>
      <c r="I89" s="913">
        <v>0</v>
      </c>
      <c r="J89" s="913">
        <v>0</v>
      </c>
      <c r="K89" s="913">
        <v>0</v>
      </c>
      <c r="L89" s="913">
        <v>0</v>
      </c>
      <c r="M89" s="913">
        <v>0</v>
      </c>
      <c r="N89" s="913">
        <v>0</v>
      </c>
      <c r="O89" s="913">
        <v>0</v>
      </c>
      <c r="P89" s="913">
        <v>0</v>
      </c>
      <c r="Q89" s="913">
        <v>0</v>
      </c>
      <c r="R89" s="913">
        <v>0</v>
      </c>
      <c r="S89" s="913">
        <v>0</v>
      </c>
      <c r="T89" s="913">
        <v>0</v>
      </c>
      <c r="U89" s="913">
        <v>0</v>
      </c>
      <c r="V89" s="913">
        <v>0</v>
      </c>
      <c r="W89" s="913">
        <f t="shared" si="13"/>
        <v>0</v>
      </c>
    </row>
    <row r="90" spans="1:23" hidden="1" x14ac:dyDescent="0.2">
      <c r="A90" s="903">
        <v>3300</v>
      </c>
      <c r="B90" s="908" t="s">
        <v>162</v>
      </c>
      <c r="C90" s="913">
        <v>0</v>
      </c>
      <c r="D90" s="913">
        <v>0</v>
      </c>
      <c r="E90" s="913">
        <v>0</v>
      </c>
      <c r="F90" s="913">
        <v>0</v>
      </c>
      <c r="G90" s="913">
        <v>0</v>
      </c>
      <c r="H90" s="913">
        <v>0</v>
      </c>
      <c r="I90" s="913">
        <v>0</v>
      </c>
      <c r="J90" s="913">
        <v>0</v>
      </c>
      <c r="K90" s="913">
        <v>0</v>
      </c>
      <c r="L90" s="913">
        <v>0</v>
      </c>
      <c r="M90" s="913">
        <v>0</v>
      </c>
      <c r="N90" s="913">
        <v>0</v>
      </c>
      <c r="O90" s="913">
        <v>0</v>
      </c>
      <c r="P90" s="913">
        <v>0</v>
      </c>
      <c r="Q90" s="913">
        <v>0</v>
      </c>
      <c r="R90" s="913">
        <v>0</v>
      </c>
      <c r="S90" s="913">
        <v>0</v>
      </c>
      <c r="T90" s="913">
        <v>0</v>
      </c>
      <c r="U90" s="913">
        <v>0</v>
      </c>
      <c r="V90" s="913">
        <v>0</v>
      </c>
      <c r="W90" s="913">
        <f t="shared" si="13"/>
        <v>0</v>
      </c>
    </row>
    <row r="91" spans="1:23" hidden="1" x14ac:dyDescent="0.2">
      <c r="A91" s="903">
        <v>4100</v>
      </c>
      <c r="B91" s="908" t="s">
        <v>163</v>
      </c>
      <c r="C91" s="913">
        <v>0</v>
      </c>
      <c r="D91" s="913">
        <v>0</v>
      </c>
      <c r="E91" s="913">
        <v>0</v>
      </c>
      <c r="F91" s="913">
        <v>0</v>
      </c>
      <c r="G91" s="913">
        <v>0</v>
      </c>
      <c r="H91" s="913">
        <v>0</v>
      </c>
      <c r="I91" s="913">
        <v>0</v>
      </c>
      <c r="J91" s="913">
        <v>0</v>
      </c>
      <c r="K91" s="913">
        <v>0</v>
      </c>
      <c r="L91" s="913">
        <v>0</v>
      </c>
      <c r="M91" s="913">
        <v>0</v>
      </c>
      <c r="N91" s="913">
        <v>0</v>
      </c>
      <c r="O91" s="913">
        <v>0</v>
      </c>
      <c r="P91" s="913">
        <v>0</v>
      </c>
      <c r="Q91" s="913">
        <v>0</v>
      </c>
      <c r="R91" s="913">
        <v>0</v>
      </c>
      <c r="S91" s="913">
        <v>0</v>
      </c>
      <c r="T91" s="913">
        <v>0</v>
      </c>
      <c r="U91" s="913">
        <v>0</v>
      </c>
      <c r="V91" s="913">
        <v>0</v>
      </c>
      <c r="W91" s="913">
        <f t="shared" si="13"/>
        <v>0</v>
      </c>
    </row>
    <row r="92" spans="1:23" hidden="1" x14ac:dyDescent="0.2">
      <c r="A92" s="903">
        <v>4000</v>
      </c>
      <c r="B92" s="908" t="s">
        <v>164</v>
      </c>
      <c r="C92" s="913">
        <v>0</v>
      </c>
      <c r="D92" s="913">
        <v>0</v>
      </c>
      <c r="E92" s="913">
        <v>0</v>
      </c>
      <c r="F92" s="913">
        <v>0</v>
      </c>
      <c r="G92" s="913">
        <v>0</v>
      </c>
      <c r="H92" s="913">
        <v>0</v>
      </c>
      <c r="I92" s="913">
        <v>0</v>
      </c>
      <c r="J92" s="913">
        <v>0</v>
      </c>
      <c r="K92" s="913">
        <v>0</v>
      </c>
      <c r="L92" s="913">
        <v>0</v>
      </c>
      <c r="M92" s="913">
        <v>0</v>
      </c>
      <c r="N92" s="913">
        <v>0</v>
      </c>
      <c r="O92" s="913">
        <v>0</v>
      </c>
      <c r="P92" s="913">
        <v>0</v>
      </c>
      <c r="Q92" s="913">
        <v>0</v>
      </c>
      <c r="R92" s="913">
        <v>0</v>
      </c>
      <c r="S92" s="913">
        <v>0</v>
      </c>
      <c r="T92" s="913">
        <v>0</v>
      </c>
      <c r="U92" s="913">
        <v>0</v>
      </c>
      <c r="V92" s="913">
        <v>0</v>
      </c>
      <c r="W92" s="913">
        <f t="shared" si="13"/>
        <v>0</v>
      </c>
    </row>
    <row r="93" spans="1:23" hidden="1" x14ac:dyDescent="0.2">
      <c r="A93" s="903">
        <v>4200</v>
      </c>
      <c r="B93" s="908" t="s">
        <v>165</v>
      </c>
      <c r="C93" s="913">
        <v>0</v>
      </c>
      <c r="D93" s="913">
        <v>0</v>
      </c>
      <c r="E93" s="913">
        <v>0</v>
      </c>
      <c r="F93" s="913">
        <v>0</v>
      </c>
      <c r="G93" s="913">
        <v>0</v>
      </c>
      <c r="H93" s="913">
        <v>0</v>
      </c>
      <c r="I93" s="913">
        <v>0</v>
      </c>
      <c r="J93" s="913">
        <v>0</v>
      </c>
      <c r="K93" s="913">
        <v>0</v>
      </c>
      <c r="L93" s="913">
        <v>0</v>
      </c>
      <c r="M93" s="913">
        <v>0</v>
      </c>
      <c r="N93" s="913">
        <v>0</v>
      </c>
      <c r="O93" s="913">
        <v>0</v>
      </c>
      <c r="P93" s="913">
        <v>0</v>
      </c>
      <c r="Q93" s="913">
        <v>0</v>
      </c>
      <c r="R93" s="913">
        <v>0</v>
      </c>
      <c r="S93" s="913">
        <v>0</v>
      </c>
      <c r="T93" s="913">
        <v>0</v>
      </c>
      <c r="U93" s="913">
        <v>0</v>
      </c>
      <c r="V93" s="913">
        <v>0</v>
      </c>
      <c r="W93" s="913">
        <f t="shared" si="13"/>
        <v>0</v>
      </c>
    </row>
    <row r="94" spans="1:23" hidden="1" x14ac:dyDescent="0.2">
      <c r="A94" s="903">
        <v>4300</v>
      </c>
      <c r="B94" s="908" t="s">
        <v>166</v>
      </c>
      <c r="C94" s="913">
        <v>0</v>
      </c>
      <c r="D94" s="913">
        <v>0</v>
      </c>
      <c r="E94" s="913">
        <v>0</v>
      </c>
      <c r="F94" s="913">
        <v>0</v>
      </c>
      <c r="G94" s="913">
        <v>0</v>
      </c>
      <c r="H94" s="913">
        <v>0</v>
      </c>
      <c r="I94" s="913">
        <v>0</v>
      </c>
      <c r="J94" s="913">
        <v>0</v>
      </c>
      <c r="K94" s="913">
        <v>0</v>
      </c>
      <c r="L94" s="913">
        <v>0</v>
      </c>
      <c r="M94" s="913">
        <v>0</v>
      </c>
      <c r="N94" s="913">
        <v>0</v>
      </c>
      <c r="O94" s="913">
        <v>0</v>
      </c>
      <c r="P94" s="913">
        <v>0</v>
      </c>
      <c r="Q94" s="913">
        <v>0</v>
      </c>
      <c r="R94" s="913">
        <v>0</v>
      </c>
      <c r="S94" s="913">
        <v>0</v>
      </c>
      <c r="T94" s="913">
        <v>0</v>
      </c>
      <c r="U94" s="913">
        <v>0</v>
      </c>
      <c r="V94" s="913">
        <v>0</v>
      </c>
      <c r="W94" s="913">
        <f t="shared" si="13"/>
        <v>0</v>
      </c>
    </row>
    <row r="95" spans="1:23" hidden="1" x14ac:dyDescent="0.2">
      <c r="A95" s="903">
        <v>4400</v>
      </c>
      <c r="B95" s="908" t="s">
        <v>167</v>
      </c>
      <c r="C95" s="913">
        <v>0</v>
      </c>
      <c r="D95" s="913">
        <v>0</v>
      </c>
      <c r="E95" s="913">
        <v>0</v>
      </c>
      <c r="F95" s="913">
        <v>0</v>
      </c>
      <c r="G95" s="913">
        <v>0</v>
      </c>
      <c r="H95" s="913">
        <v>0</v>
      </c>
      <c r="I95" s="913">
        <v>0</v>
      </c>
      <c r="J95" s="913">
        <v>0</v>
      </c>
      <c r="K95" s="913">
        <v>0</v>
      </c>
      <c r="L95" s="913">
        <v>0</v>
      </c>
      <c r="M95" s="913">
        <v>0</v>
      </c>
      <c r="N95" s="913">
        <v>0</v>
      </c>
      <c r="O95" s="913">
        <v>0</v>
      </c>
      <c r="P95" s="913">
        <v>0</v>
      </c>
      <c r="Q95" s="913">
        <v>0</v>
      </c>
      <c r="R95" s="913">
        <v>0</v>
      </c>
      <c r="S95" s="913">
        <v>0</v>
      </c>
      <c r="T95" s="913">
        <v>0</v>
      </c>
      <c r="U95" s="913">
        <v>0</v>
      </c>
      <c r="V95" s="913">
        <v>0</v>
      </c>
      <c r="W95" s="913">
        <f t="shared" si="13"/>
        <v>0</v>
      </c>
    </row>
    <row r="96" spans="1:23" hidden="1" x14ac:dyDescent="0.2">
      <c r="A96" s="903">
        <v>4500</v>
      </c>
      <c r="B96" s="908" t="s">
        <v>168</v>
      </c>
      <c r="C96" s="913">
        <v>0</v>
      </c>
      <c r="D96" s="913">
        <v>0</v>
      </c>
      <c r="E96" s="913">
        <v>0</v>
      </c>
      <c r="F96" s="913">
        <v>0</v>
      </c>
      <c r="G96" s="913">
        <v>0</v>
      </c>
      <c r="H96" s="913">
        <v>0</v>
      </c>
      <c r="I96" s="913">
        <v>0</v>
      </c>
      <c r="J96" s="913">
        <v>0</v>
      </c>
      <c r="K96" s="913">
        <v>0</v>
      </c>
      <c r="L96" s="913">
        <v>0</v>
      </c>
      <c r="M96" s="913">
        <v>0</v>
      </c>
      <c r="N96" s="913">
        <v>0</v>
      </c>
      <c r="O96" s="913">
        <v>0</v>
      </c>
      <c r="P96" s="913">
        <v>0</v>
      </c>
      <c r="Q96" s="913">
        <v>0</v>
      </c>
      <c r="R96" s="913">
        <v>0</v>
      </c>
      <c r="S96" s="913">
        <v>0</v>
      </c>
      <c r="T96" s="913">
        <v>0</v>
      </c>
      <c r="U96" s="913">
        <v>0</v>
      </c>
      <c r="V96" s="913">
        <v>0</v>
      </c>
      <c r="W96" s="913">
        <f t="shared" si="13"/>
        <v>0</v>
      </c>
    </row>
    <row r="97" spans="1:23" hidden="1" x14ac:dyDescent="0.2">
      <c r="A97" s="903">
        <v>4600</v>
      </c>
      <c r="B97" s="908" t="s">
        <v>169</v>
      </c>
      <c r="C97" s="913">
        <v>0</v>
      </c>
      <c r="D97" s="913">
        <v>0</v>
      </c>
      <c r="E97" s="913">
        <v>0</v>
      </c>
      <c r="F97" s="913">
        <v>0</v>
      </c>
      <c r="G97" s="913">
        <v>0</v>
      </c>
      <c r="H97" s="913">
        <v>0</v>
      </c>
      <c r="I97" s="913">
        <v>0</v>
      </c>
      <c r="J97" s="913">
        <v>0</v>
      </c>
      <c r="K97" s="913">
        <v>0</v>
      </c>
      <c r="L97" s="913"/>
      <c r="M97" s="913">
        <v>0</v>
      </c>
      <c r="N97" s="913">
        <v>0</v>
      </c>
      <c r="O97" s="913">
        <v>0</v>
      </c>
      <c r="P97" s="913">
        <v>0</v>
      </c>
      <c r="Q97" s="913">
        <v>0</v>
      </c>
      <c r="R97" s="913">
        <v>0</v>
      </c>
      <c r="S97" s="913">
        <v>0</v>
      </c>
      <c r="T97" s="913">
        <v>0</v>
      </c>
      <c r="U97" s="913">
        <v>0</v>
      </c>
      <c r="V97" s="913">
        <v>0</v>
      </c>
      <c r="W97" s="913">
        <f t="shared" si="13"/>
        <v>0</v>
      </c>
    </row>
    <row r="98" spans="1:23" x14ac:dyDescent="0.2">
      <c r="A98" s="903">
        <v>4700</v>
      </c>
      <c r="B98" s="908" t="s">
        <v>170</v>
      </c>
      <c r="C98" s="913">
        <v>0</v>
      </c>
      <c r="D98" s="913">
        <v>0</v>
      </c>
      <c r="E98" s="913">
        <v>0</v>
      </c>
      <c r="F98" s="913">
        <v>0</v>
      </c>
      <c r="G98" s="913">
        <v>0</v>
      </c>
      <c r="H98" s="913">
        <v>0</v>
      </c>
      <c r="I98" s="913">
        <v>0</v>
      </c>
      <c r="J98" s="913">
        <v>0</v>
      </c>
      <c r="K98" s="913">
        <v>0</v>
      </c>
      <c r="L98" s="913">
        <v>0</v>
      </c>
      <c r="M98" s="913">
        <v>0</v>
      </c>
      <c r="N98" s="913">
        <v>0</v>
      </c>
      <c r="O98" s="913">
        <v>0</v>
      </c>
      <c r="P98" s="913">
        <v>0</v>
      </c>
      <c r="Q98" s="913">
        <v>1540000</v>
      </c>
      <c r="R98" s="913">
        <v>22900641</v>
      </c>
      <c r="S98" s="913">
        <v>0</v>
      </c>
      <c r="T98" s="913">
        <v>0</v>
      </c>
      <c r="U98" s="913">
        <v>0</v>
      </c>
      <c r="V98" s="913">
        <v>0</v>
      </c>
      <c r="W98" s="913">
        <f t="shared" si="13"/>
        <v>24440641</v>
      </c>
    </row>
    <row r="99" spans="1:23" hidden="1" x14ac:dyDescent="0.2">
      <c r="A99" s="903">
        <v>4900</v>
      </c>
      <c r="B99" s="908" t="s">
        <v>171</v>
      </c>
      <c r="C99" s="913">
        <v>0</v>
      </c>
      <c r="D99" s="913">
        <v>0</v>
      </c>
      <c r="E99" s="913">
        <v>0</v>
      </c>
      <c r="F99" s="913">
        <v>0</v>
      </c>
      <c r="G99" s="913">
        <v>0</v>
      </c>
      <c r="H99" s="913">
        <v>0</v>
      </c>
      <c r="I99" s="913">
        <v>0</v>
      </c>
      <c r="J99" s="913">
        <v>0</v>
      </c>
      <c r="K99" s="913">
        <v>0</v>
      </c>
      <c r="L99" s="913">
        <v>0</v>
      </c>
      <c r="M99" s="913">
        <v>0</v>
      </c>
      <c r="N99" s="913">
        <v>0</v>
      </c>
      <c r="O99" s="913">
        <v>0</v>
      </c>
      <c r="P99" s="913">
        <v>0</v>
      </c>
      <c r="Q99" s="913">
        <v>0</v>
      </c>
      <c r="R99" s="913">
        <v>0</v>
      </c>
      <c r="S99" s="913">
        <v>0</v>
      </c>
      <c r="T99" s="913">
        <v>0</v>
      </c>
      <c r="U99" s="913">
        <v>0</v>
      </c>
      <c r="V99" s="913">
        <v>0</v>
      </c>
      <c r="W99" s="913">
        <f t="shared" si="13"/>
        <v>0</v>
      </c>
    </row>
    <row r="100" spans="1:23" hidden="1" x14ac:dyDescent="0.2">
      <c r="A100" s="903">
        <v>5000</v>
      </c>
      <c r="B100" s="908" t="s">
        <v>172</v>
      </c>
      <c r="C100" s="913">
        <v>0</v>
      </c>
      <c r="D100" s="913">
        <v>0</v>
      </c>
      <c r="E100" s="913">
        <v>0</v>
      </c>
      <c r="F100" s="913">
        <v>0</v>
      </c>
      <c r="G100" s="913">
        <v>0</v>
      </c>
      <c r="H100" s="913">
        <v>0</v>
      </c>
      <c r="I100" s="913">
        <v>0</v>
      </c>
      <c r="J100" s="913">
        <v>0</v>
      </c>
      <c r="K100" s="913">
        <v>0</v>
      </c>
      <c r="L100" s="913">
        <v>0</v>
      </c>
      <c r="M100" s="913">
        <v>0</v>
      </c>
      <c r="N100" s="913">
        <v>0</v>
      </c>
      <c r="O100" s="913">
        <v>0</v>
      </c>
      <c r="P100" s="913">
        <v>0</v>
      </c>
      <c r="Q100" s="913">
        <v>0</v>
      </c>
      <c r="R100" s="913">
        <v>0</v>
      </c>
      <c r="S100" s="913">
        <v>0</v>
      </c>
      <c r="T100" s="913">
        <v>0</v>
      </c>
      <c r="U100" s="913">
        <v>0</v>
      </c>
      <c r="V100" s="913">
        <v>0</v>
      </c>
      <c r="W100" s="913">
        <f t="shared" si="13"/>
        <v>0</v>
      </c>
    </row>
    <row r="101" spans="1:23" x14ac:dyDescent="0.2">
      <c r="A101" s="903">
        <v>5000</v>
      </c>
      <c r="B101" s="908" t="s">
        <v>173</v>
      </c>
      <c r="C101" s="913">
        <v>0</v>
      </c>
      <c r="D101" s="913">
        <v>6641079</v>
      </c>
      <c r="E101" s="913">
        <v>0</v>
      </c>
      <c r="F101" s="913">
        <v>0</v>
      </c>
      <c r="G101" s="913">
        <v>0</v>
      </c>
      <c r="H101" s="913">
        <v>0</v>
      </c>
      <c r="I101" s="913">
        <v>0</v>
      </c>
      <c r="J101" s="913">
        <v>0</v>
      </c>
      <c r="K101" s="913">
        <v>0</v>
      </c>
      <c r="L101" s="913">
        <v>0</v>
      </c>
      <c r="M101" s="913">
        <v>0</v>
      </c>
      <c r="N101" s="913">
        <v>0</v>
      </c>
      <c r="O101" s="913">
        <v>0</v>
      </c>
      <c r="P101" s="913">
        <v>0</v>
      </c>
      <c r="Q101" s="913">
        <v>0</v>
      </c>
      <c r="R101" s="913">
        <v>0</v>
      </c>
      <c r="S101" s="913">
        <v>0</v>
      </c>
      <c r="T101" s="913">
        <v>0</v>
      </c>
      <c r="U101" s="913">
        <v>0</v>
      </c>
      <c r="V101" s="913">
        <v>0</v>
      </c>
      <c r="W101" s="913">
        <f t="shared" si="13"/>
        <v>6641079</v>
      </c>
    </row>
    <row r="102" spans="1:23" hidden="1" x14ac:dyDescent="0.2">
      <c r="A102" s="903">
        <v>6100</v>
      </c>
      <c r="B102" s="908" t="s">
        <v>174</v>
      </c>
      <c r="C102" s="913">
        <v>0</v>
      </c>
      <c r="D102" s="913">
        <v>0</v>
      </c>
      <c r="E102" s="913">
        <v>0</v>
      </c>
      <c r="F102" s="913">
        <v>0</v>
      </c>
      <c r="G102" s="913">
        <v>0</v>
      </c>
      <c r="H102" s="913">
        <v>0</v>
      </c>
      <c r="I102" s="913">
        <v>0</v>
      </c>
      <c r="J102" s="913">
        <v>0</v>
      </c>
      <c r="K102" s="913">
        <v>0</v>
      </c>
      <c r="L102" s="913">
        <v>0</v>
      </c>
      <c r="M102" s="913">
        <v>0</v>
      </c>
      <c r="N102" s="913">
        <v>0</v>
      </c>
      <c r="O102" s="913">
        <v>0</v>
      </c>
      <c r="P102" s="913">
        <v>0</v>
      </c>
      <c r="Q102" s="913">
        <v>0</v>
      </c>
      <c r="R102" s="913">
        <v>0</v>
      </c>
      <c r="S102" s="913">
        <v>0</v>
      </c>
      <c r="T102" s="913">
        <v>0</v>
      </c>
      <c r="U102" s="913">
        <v>0</v>
      </c>
      <c r="V102" s="913">
        <v>0</v>
      </c>
      <c r="W102" s="913">
        <f t="shared" si="13"/>
        <v>0</v>
      </c>
    </row>
    <row r="103" spans="1:23" x14ac:dyDescent="0.2">
      <c r="A103" s="903">
        <v>6200</v>
      </c>
      <c r="B103" s="908" t="s">
        <v>175</v>
      </c>
      <c r="C103" s="913">
        <v>8428493</v>
      </c>
      <c r="D103" s="913">
        <v>0</v>
      </c>
      <c r="E103" s="913">
        <v>0</v>
      </c>
      <c r="F103" s="913">
        <v>0</v>
      </c>
      <c r="G103" s="913">
        <v>0</v>
      </c>
      <c r="H103" s="913">
        <v>0</v>
      </c>
      <c r="I103" s="913">
        <v>0</v>
      </c>
      <c r="J103" s="913">
        <v>0</v>
      </c>
      <c r="K103" s="913">
        <v>0</v>
      </c>
      <c r="L103" s="913">
        <v>0</v>
      </c>
      <c r="M103" s="913">
        <v>0</v>
      </c>
      <c r="N103" s="913">
        <v>0</v>
      </c>
      <c r="O103" s="913">
        <v>0</v>
      </c>
      <c r="P103" s="913">
        <v>0</v>
      </c>
      <c r="Q103" s="913">
        <v>0</v>
      </c>
      <c r="R103" s="913">
        <v>0</v>
      </c>
      <c r="S103" s="913">
        <v>0</v>
      </c>
      <c r="T103" s="913">
        <v>0</v>
      </c>
      <c r="U103" s="913">
        <v>0</v>
      </c>
      <c r="V103" s="913">
        <v>0</v>
      </c>
      <c r="W103" s="913">
        <f t="shared" si="13"/>
        <v>8428493</v>
      </c>
    </row>
    <row r="104" spans="1:23" x14ac:dyDescent="0.2">
      <c r="A104" s="903">
        <v>6300</v>
      </c>
      <c r="B104" s="908" t="s">
        <v>176</v>
      </c>
      <c r="C104" s="913">
        <v>1000000</v>
      </c>
      <c r="D104" s="913">
        <v>0</v>
      </c>
      <c r="E104" s="913">
        <v>0</v>
      </c>
      <c r="F104" s="913">
        <v>0</v>
      </c>
      <c r="G104" s="913">
        <v>0</v>
      </c>
      <c r="H104" s="913">
        <v>0</v>
      </c>
      <c r="I104" s="913">
        <v>0</v>
      </c>
      <c r="J104" s="913">
        <v>0</v>
      </c>
      <c r="K104" s="913">
        <v>0</v>
      </c>
      <c r="L104" s="913">
        <v>0</v>
      </c>
      <c r="M104" s="913">
        <v>0</v>
      </c>
      <c r="N104" s="913">
        <v>0</v>
      </c>
      <c r="O104" s="913">
        <v>0</v>
      </c>
      <c r="P104" s="913">
        <v>0</v>
      </c>
      <c r="Q104" s="913">
        <v>0</v>
      </c>
      <c r="R104" s="913">
        <v>0</v>
      </c>
      <c r="S104" s="913">
        <v>0</v>
      </c>
      <c r="T104" s="913">
        <v>0</v>
      </c>
      <c r="U104" s="913">
        <v>0</v>
      </c>
      <c r="V104" s="913">
        <v>0</v>
      </c>
      <c r="W104" s="913">
        <f t="shared" si="13"/>
        <v>1000000</v>
      </c>
    </row>
    <row r="105" spans="1:23" x14ac:dyDescent="0.2">
      <c r="A105" s="903">
        <v>8000</v>
      </c>
      <c r="B105" s="908" t="s">
        <v>177</v>
      </c>
      <c r="C105" s="913">
        <v>10521220</v>
      </c>
      <c r="D105" s="913">
        <v>4155474</v>
      </c>
      <c r="E105" s="913">
        <v>0</v>
      </c>
      <c r="F105" s="913">
        <v>0</v>
      </c>
      <c r="G105" s="913">
        <v>0</v>
      </c>
      <c r="H105" s="913">
        <v>0</v>
      </c>
      <c r="I105" s="913">
        <v>0</v>
      </c>
      <c r="J105" s="913">
        <v>193143</v>
      </c>
      <c r="K105" s="913">
        <v>0</v>
      </c>
      <c r="L105" s="913">
        <v>0</v>
      </c>
      <c r="M105" s="913">
        <v>5884</v>
      </c>
      <c r="N105" s="913">
        <v>0</v>
      </c>
      <c r="O105" s="913">
        <v>315613</v>
      </c>
      <c r="P105" s="913">
        <v>206696</v>
      </c>
      <c r="Q105" s="913">
        <v>311966</v>
      </c>
      <c r="R105" s="913">
        <v>0</v>
      </c>
      <c r="S105" s="913">
        <v>3474391</v>
      </c>
      <c r="T105" s="913">
        <v>690311</v>
      </c>
      <c r="U105" s="913">
        <v>427150</v>
      </c>
      <c r="V105" s="913">
        <v>0</v>
      </c>
      <c r="W105" s="913">
        <f t="shared" si="13"/>
        <v>20301848</v>
      </c>
    </row>
    <row r="106" spans="1:23" x14ac:dyDescent="0.2">
      <c r="A106" s="903"/>
      <c r="B106" s="908"/>
      <c r="C106" s="913"/>
      <c r="D106" s="913"/>
      <c r="E106" s="913"/>
      <c r="F106" s="913"/>
      <c r="G106" s="913"/>
      <c r="H106" s="913"/>
      <c r="I106" s="913"/>
      <c r="J106" s="913"/>
      <c r="K106" s="913"/>
      <c r="L106" s="913"/>
      <c r="M106" s="913"/>
      <c r="N106" s="913"/>
      <c r="O106" s="913"/>
      <c r="P106" s="913"/>
      <c r="Q106" s="913"/>
      <c r="R106" s="913"/>
      <c r="S106" s="913"/>
      <c r="T106" s="913"/>
      <c r="U106" s="913"/>
      <c r="V106" s="913"/>
      <c r="W106" s="913">
        <f t="shared" si="13"/>
        <v>0</v>
      </c>
    </row>
    <row r="107" spans="1:23" x14ac:dyDescent="0.2">
      <c r="A107" s="914"/>
      <c r="B107" s="908" t="s">
        <v>308</v>
      </c>
      <c r="C107" s="913">
        <v>0</v>
      </c>
      <c r="D107" s="913">
        <v>0</v>
      </c>
      <c r="E107" s="913">
        <v>0</v>
      </c>
      <c r="F107" s="913">
        <v>0</v>
      </c>
      <c r="G107" s="913">
        <v>0</v>
      </c>
      <c r="H107" s="913">
        <v>0</v>
      </c>
      <c r="I107" s="913">
        <v>0</v>
      </c>
      <c r="J107" s="913">
        <v>0</v>
      </c>
      <c r="K107" s="913">
        <v>0</v>
      </c>
      <c r="L107" s="913">
        <v>0</v>
      </c>
      <c r="M107" s="913">
        <v>0</v>
      </c>
      <c r="N107" s="913">
        <v>0</v>
      </c>
      <c r="O107" s="913">
        <v>0</v>
      </c>
      <c r="P107" s="913">
        <v>0</v>
      </c>
      <c r="Q107" s="913">
        <v>0</v>
      </c>
      <c r="R107" s="913">
        <v>0</v>
      </c>
      <c r="S107" s="913"/>
      <c r="T107" s="913"/>
      <c r="U107" s="913"/>
      <c r="V107" s="913"/>
      <c r="W107" s="913"/>
    </row>
    <row r="108" spans="1:23" hidden="1" x14ac:dyDescent="0.2">
      <c r="A108" s="903"/>
      <c r="B108" s="908" t="s">
        <v>179</v>
      </c>
      <c r="C108" s="913">
        <v>0</v>
      </c>
      <c r="D108" s="913">
        <v>0</v>
      </c>
      <c r="E108" s="913">
        <v>0</v>
      </c>
      <c r="F108" s="913">
        <v>0</v>
      </c>
      <c r="G108" s="913">
        <v>0</v>
      </c>
      <c r="H108" s="913">
        <v>0</v>
      </c>
      <c r="I108" s="913">
        <v>0</v>
      </c>
      <c r="J108" s="913">
        <v>0</v>
      </c>
      <c r="K108" s="913">
        <v>0</v>
      </c>
      <c r="L108" s="913">
        <v>0</v>
      </c>
      <c r="M108" s="913">
        <v>0</v>
      </c>
      <c r="N108" s="913">
        <v>0</v>
      </c>
      <c r="O108" s="913">
        <v>0</v>
      </c>
      <c r="P108" s="913">
        <v>0</v>
      </c>
      <c r="Q108" s="913">
        <v>0</v>
      </c>
      <c r="R108" s="913">
        <v>0</v>
      </c>
      <c r="S108" s="913">
        <v>0</v>
      </c>
      <c r="T108" s="913">
        <v>0</v>
      </c>
      <c r="U108" s="913">
        <v>0</v>
      </c>
      <c r="V108" s="913">
        <v>0</v>
      </c>
      <c r="W108" s="913">
        <f t="shared" ref="W108:W171" si="14">SUM(C108:V108)</f>
        <v>0</v>
      </c>
    </row>
    <row r="109" spans="1:23" hidden="1" x14ac:dyDescent="0.2">
      <c r="A109" s="903"/>
      <c r="B109" s="908" t="s">
        <v>145</v>
      </c>
      <c r="C109" s="913">
        <v>0</v>
      </c>
      <c r="D109" s="913">
        <v>0</v>
      </c>
      <c r="E109" s="913">
        <v>0</v>
      </c>
      <c r="F109" s="913">
        <v>0</v>
      </c>
      <c r="G109" s="913">
        <v>0</v>
      </c>
      <c r="H109" s="913">
        <v>0</v>
      </c>
      <c r="I109" s="913">
        <v>0</v>
      </c>
      <c r="J109" s="913">
        <v>0</v>
      </c>
      <c r="K109" s="913">
        <v>0</v>
      </c>
      <c r="L109" s="913">
        <v>0</v>
      </c>
      <c r="M109" s="913">
        <v>0</v>
      </c>
      <c r="N109" s="913">
        <v>0</v>
      </c>
      <c r="O109" s="913">
        <v>0</v>
      </c>
      <c r="P109" s="913">
        <v>0</v>
      </c>
      <c r="Q109" s="913">
        <v>0</v>
      </c>
      <c r="R109" s="913">
        <v>0</v>
      </c>
      <c r="S109" s="913">
        <v>0</v>
      </c>
      <c r="T109" s="913">
        <v>0</v>
      </c>
      <c r="U109" s="913">
        <v>0</v>
      </c>
      <c r="V109" s="913">
        <v>0</v>
      </c>
      <c r="W109" s="913">
        <f t="shared" si="14"/>
        <v>0</v>
      </c>
    </row>
    <row r="110" spans="1:23" hidden="1" x14ac:dyDescent="0.2">
      <c r="A110" s="903"/>
      <c r="B110" s="908" t="s">
        <v>180</v>
      </c>
      <c r="C110" s="913">
        <v>0</v>
      </c>
      <c r="D110" s="913">
        <v>0</v>
      </c>
      <c r="E110" s="913">
        <v>0</v>
      </c>
      <c r="F110" s="913">
        <v>0</v>
      </c>
      <c r="G110" s="913">
        <v>0</v>
      </c>
      <c r="H110" s="913">
        <v>0</v>
      </c>
      <c r="I110" s="913">
        <v>0</v>
      </c>
      <c r="J110" s="913">
        <v>0</v>
      </c>
      <c r="K110" s="913">
        <v>0</v>
      </c>
      <c r="L110" s="913">
        <v>0</v>
      </c>
      <c r="M110" s="913">
        <v>0</v>
      </c>
      <c r="N110" s="913">
        <v>0</v>
      </c>
      <c r="O110" s="913">
        <v>0</v>
      </c>
      <c r="P110" s="913">
        <v>0</v>
      </c>
      <c r="Q110" s="913">
        <v>0</v>
      </c>
      <c r="R110" s="913">
        <v>0</v>
      </c>
      <c r="S110" s="913">
        <v>0</v>
      </c>
      <c r="T110" s="913">
        <v>0</v>
      </c>
      <c r="U110" s="913">
        <v>0</v>
      </c>
      <c r="V110" s="913">
        <v>0</v>
      </c>
      <c r="W110" s="913">
        <f t="shared" si="14"/>
        <v>0</v>
      </c>
    </row>
    <row r="111" spans="1:23" hidden="1" x14ac:dyDescent="0.2">
      <c r="A111" s="903"/>
      <c r="B111" s="908" t="s">
        <v>181</v>
      </c>
      <c r="C111" s="913">
        <v>0</v>
      </c>
      <c r="D111" s="913">
        <v>0</v>
      </c>
      <c r="E111" s="913">
        <v>0</v>
      </c>
      <c r="F111" s="913">
        <v>0</v>
      </c>
      <c r="G111" s="913">
        <v>0</v>
      </c>
      <c r="H111" s="913">
        <v>0</v>
      </c>
      <c r="I111" s="913">
        <v>0</v>
      </c>
      <c r="J111" s="913">
        <v>0</v>
      </c>
      <c r="K111" s="913">
        <v>0</v>
      </c>
      <c r="L111" s="913">
        <v>0</v>
      </c>
      <c r="M111" s="913">
        <v>0</v>
      </c>
      <c r="N111" s="913">
        <v>0</v>
      </c>
      <c r="O111" s="913">
        <v>0</v>
      </c>
      <c r="P111" s="913">
        <v>0</v>
      </c>
      <c r="Q111" s="913">
        <v>0</v>
      </c>
      <c r="R111" s="913">
        <v>0</v>
      </c>
      <c r="S111" s="913">
        <v>0</v>
      </c>
      <c r="T111" s="913">
        <v>0</v>
      </c>
      <c r="U111" s="913">
        <v>0</v>
      </c>
      <c r="V111" s="913">
        <v>0</v>
      </c>
      <c r="W111" s="913">
        <f t="shared" si="14"/>
        <v>0</v>
      </c>
    </row>
    <row r="112" spans="1:23" hidden="1" x14ac:dyDescent="0.2">
      <c r="A112" s="903"/>
      <c r="B112" s="908" t="s">
        <v>182</v>
      </c>
      <c r="C112" s="913">
        <v>0</v>
      </c>
      <c r="D112" s="913">
        <v>0</v>
      </c>
      <c r="E112" s="913">
        <v>0</v>
      </c>
      <c r="F112" s="913">
        <v>0</v>
      </c>
      <c r="G112" s="913">
        <v>0</v>
      </c>
      <c r="H112" s="913">
        <v>0</v>
      </c>
      <c r="I112" s="913">
        <v>0</v>
      </c>
      <c r="J112" s="913">
        <v>0</v>
      </c>
      <c r="K112" s="913">
        <v>0</v>
      </c>
      <c r="L112" s="913">
        <v>0</v>
      </c>
      <c r="M112" s="913">
        <v>0</v>
      </c>
      <c r="N112" s="913">
        <v>0</v>
      </c>
      <c r="O112" s="913">
        <v>0</v>
      </c>
      <c r="P112" s="913">
        <v>0</v>
      </c>
      <c r="Q112" s="913">
        <v>0</v>
      </c>
      <c r="R112" s="913">
        <v>0</v>
      </c>
      <c r="S112" s="913">
        <v>0</v>
      </c>
      <c r="T112" s="913">
        <v>0</v>
      </c>
      <c r="U112" s="913">
        <v>0</v>
      </c>
      <c r="V112" s="913">
        <v>0</v>
      </c>
      <c r="W112" s="913">
        <f t="shared" si="14"/>
        <v>0</v>
      </c>
    </row>
    <row r="113" spans="1:23" hidden="1" x14ac:dyDescent="0.2">
      <c r="A113" s="903"/>
      <c r="B113" s="908" t="s">
        <v>183</v>
      </c>
      <c r="C113" s="913">
        <v>0</v>
      </c>
      <c r="D113" s="913">
        <v>0</v>
      </c>
      <c r="E113" s="913">
        <v>0</v>
      </c>
      <c r="F113" s="913">
        <v>0</v>
      </c>
      <c r="G113" s="913">
        <v>0</v>
      </c>
      <c r="H113" s="913">
        <v>0</v>
      </c>
      <c r="I113" s="913">
        <v>0</v>
      </c>
      <c r="J113" s="913">
        <v>0</v>
      </c>
      <c r="K113" s="913">
        <v>0</v>
      </c>
      <c r="L113" s="913">
        <v>0</v>
      </c>
      <c r="M113" s="913">
        <v>0</v>
      </c>
      <c r="N113" s="913">
        <v>0</v>
      </c>
      <c r="O113" s="913">
        <v>0</v>
      </c>
      <c r="P113" s="913">
        <v>0</v>
      </c>
      <c r="Q113" s="913">
        <v>0</v>
      </c>
      <c r="R113" s="913">
        <v>0</v>
      </c>
      <c r="S113" s="913">
        <v>0</v>
      </c>
      <c r="T113" s="913">
        <v>0</v>
      </c>
      <c r="U113" s="913">
        <v>0</v>
      </c>
      <c r="V113" s="913">
        <v>0</v>
      </c>
      <c r="W113" s="913">
        <f t="shared" si="14"/>
        <v>0</v>
      </c>
    </row>
    <row r="114" spans="1:23" hidden="1" x14ac:dyDescent="0.2">
      <c r="A114" s="903"/>
      <c r="B114" s="908" t="s">
        <v>184</v>
      </c>
      <c r="C114" s="913">
        <v>0</v>
      </c>
      <c r="D114" s="913">
        <v>0</v>
      </c>
      <c r="E114" s="913">
        <v>0</v>
      </c>
      <c r="F114" s="913">
        <v>0</v>
      </c>
      <c r="G114" s="913">
        <v>0</v>
      </c>
      <c r="H114" s="913">
        <v>0</v>
      </c>
      <c r="I114" s="913">
        <v>0</v>
      </c>
      <c r="J114" s="913">
        <v>0</v>
      </c>
      <c r="K114" s="913">
        <v>0</v>
      </c>
      <c r="L114" s="913">
        <v>0</v>
      </c>
      <c r="M114" s="913">
        <v>0</v>
      </c>
      <c r="N114" s="913">
        <v>0</v>
      </c>
      <c r="O114" s="913">
        <v>0</v>
      </c>
      <c r="P114" s="913">
        <v>0</v>
      </c>
      <c r="Q114" s="913">
        <v>0</v>
      </c>
      <c r="R114" s="913">
        <v>0</v>
      </c>
      <c r="S114" s="913">
        <v>0</v>
      </c>
      <c r="T114" s="913">
        <v>0</v>
      </c>
      <c r="U114" s="913">
        <v>0</v>
      </c>
      <c r="V114" s="913">
        <v>0</v>
      </c>
      <c r="W114" s="913">
        <f t="shared" si="14"/>
        <v>0</v>
      </c>
    </row>
    <row r="115" spans="1:23" hidden="1" x14ac:dyDescent="0.2">
      <c r="A115" s="903"/>
      <c r="B115" s="908" t="s">
        <v>185</v>
      </c>
      <c r="C115" s="913">
        <v>0</v>
      </c>
      <c r="D115" s="913">
        <v>0</v>
      </c>
      <c r="E115" s="913">
        <v>0</v>
      </c>
      <c r="F115" s="913">
        <v>0</v>
      </c>
      <c r="G115" s="913">
        <v>0</v>
      </c>
      <c r="H115" s="913">
        <v>0</v>
      </c>
      <c r="I115" s="913">
        <v>0</v>
      </c>
      <c r="J115" s="913">
        <v>0</v>
      </c>
      <c r="K115" s="913">
        <v>0</v>
      </c>
      <c r="L115" s="913">
        <v>0</v>
      </c>
      <c r="M115" s="913">
        <v>0</v>
      </c>
      <c r="N115" s="913">
        <v>0</v>
      </c>
      <c r="O115" s="913">
        <v>0</v>
      </c>
      <c r="P115" s="913">
        <v>0</v>
      </c>
      <c r="Q115" s="913">
        <v>0</v>
      </c>
      <c r="R115" s="913">
        <v>0</v>
      </c>
      <c r="S115" s="913">
        <v>0</v>
      </c>
      <c r="T115" s="913">
        <v>0</v>
      </c>
      <c r="U115" s="913">
        <v>0</v>
      </c>
      <c r="V115" s="913">
        <v>0</v>
      </c>
      <c r="W115" s="913">
        <f t="shared" si="14"/>
        <v>0</v>
      </c>
    </row>
    <row r="116" spans="1:23" hidden="1" x14ac:dyDescent="0.2">
      <c r="A116" s="903"/>
      <c r="B116" s="908" t="s">
        <v>186</v>
      </c>
      <c r="C116" s="913">
        <v>0</v>
      </c>
      <c r="D116" s="913">
        <v>0</v>
      </c>
      <c r="E116" s="913">
        <v>0</v>
      </c>
      <c r="F116" s="913">
        <v>0</v>
      </c>
      <c r="G116" s="913">
        <v>0</v>
      </c>
      <c r="H116" s="913">
        <v>0</v>
      </c>
      <c r="I116" s="913">
        <v>0</v>
      </c>
      <c r="J116" s="913">
        <v>0</v>
      </c>
      <c r="K116" s="913">
        <v>0</v>
      </c>
      <c r="L116" s="913">
        <v>0</v>
      </c>
      <c r="M116" s="913">
        <v>0</v>
      </c>
      <c r="N116" s="913">
        <v>0</v>
      </c>
      <c r="O116" s="913">
        <v>0</v>
      </c>
      <c r="P116" s="913">
        <v>0</v>
      </c>
      <c r="Q116" s="913">
        <v>0</v>
      </c>
      <c r="R116" s="913">
        <v>0</v>
      </c>
      <c r="S116" s="913">
        <v>0</v>
      </c>
      <c r="T116" s="913">
        <v>0</v>
      </c>
      <c r="U116" s="913">
        <v>0</v>
      </c>
      <c r="V116" s="913">
        <v>0</v>
      </c>
      <c r="W116" s="913">
        <f t="shared" si="14"/>
        <v>0</v>
      </c>
    </row>
    <row r="117" spans="1:23" hidden="1" x14ac:dyDescent="0.2">
      <c r="A117" s="903"/>
      <c r="B117" s="908" t="s">
        <v>187</v>
      </c>
      <c r="C117" s="913">
        <v>0</v>
      </c>
      <c r="D117" s="913">
        <v>0</v>
      </c>
      <c r="E117" s="913">
        <v>0</v>
      </c>
      <c r="F117" s="913">
        <v>0</v>
      </c>
      <c r="G117" s="913">
        <v>0</v>
      </c>
      <c r="H117" s="913">
        <v>0</v>
      </c>
      <c r="I117" s="913">
        <v>0</v>
      </c>
      <c r="J117" s="913">
        <v>0</v>
      </c>
      <c r="K117" s="913">
        <v>0</v>
      </c>
      <c r="L117" s="913">
        <v>0</v>
      </c>
      <c r="M117" s="913">
        <v>0</v>
      </c>
      <c r="N117" s="913">
        <v>0</v>
      </c>
      <c r="O117" s="913">
        <v>0</v>
      </c>
      <c r="P117" s="913">
        <v>0</v>
      </c>
      <c r="Q117" s="913">
        <v>0</v>
      </c>
      <c r="R117" s="913">
        <v>0</v>
      </c>
      <c r="S117" s="913">
        <v>0</v>
      </c>
      <c r="T117" s="913">
        <v>0</v>
      </c>
      <c r="U117" s="913">
        <v>0</v>
      </c>
      <c r="V117" s="913">
        <v>0</v>
      </c>
      <c r="W117" s="913">
        <f t="shared" si="14"/>
        <v>0</v>
      </c>
    </row>
    <row r="118" spans="1:23" x14ac:dyDescent="0.2">
      <c r="A118" s="903"/>
      <c r="B118" s="908" t="s">
        <v>188</v>
      </c>
      <c r="C118" s="913">
        <v>0</v>
      </c>
      <c r="D118" s="913">
        <v>0</v>
      </c>
      <c r="E118" s="913">
        <v>0</v>
      </c>
      <c r="F118" s="913">
        <v>0</v>
      </c>
      <c r="G118" s="913">
        <v>0</v>
      </c>
      <c r="H118" s="913">
        <v>0</v>
      </c>
      <c r="I118" s="913">
        <v>0</v>
      </c>
      <c r="J118" s="913">
        <v>0</v>
      </c>
      <c r="K118" s="913">
        <v>0</v>
      </c>
      <c r="L118" s="913">
        <v>0</v>
      </c>
      <c r="M118" s="913">
        <v>0</v>
      </c>
      <c r="N118" s="913">
        <v>0</v>
      </c>
      <c r="O118" s="913">
        <v>0</v>
      </c>
      <c r="P118" s="913">
        <v>0</v>
      </c>
      <c r="Q118" s="913">
        <v>0</v>
      </c>
      <c r="R118" s="913">
        <v>0</v>
      </c>
      <c r="S118" s="913">
        <v>0</v>
      </c>
      <c r="T118" s="913">
        <v>0</v>
      </c>
      <c r="U118" s="913">
        <v>0</v>
      </c>
      <c r="V118" s="913">
        <v>-350000</v>
      </c>
      <c r="W118" s="913">
        <f t="shared" si="14"/>
        <v>-350000</v>
      </c>
    </row>
    <row r="119" spans="1:23" hidden="1" x14ac:dyDescent="0.2">
      <c r="A119" s="903"/>
      <c r="B119" s="908" t="s">
        <v>189</v>
      </c>
      <c r="C119" s="913">
        <v>0</v>
      </c>
      <c r="D119" s="913">
        <v>0</v>
      </c>
      <c r="E119" s="913">
        <v>0</v>
      </c>
      <c r="F119" s="913">
        <v>0</v>
      </c>
      <c r="G119" s="913">
        <v>0</v>
      </c>
      <c r="H119" s="913">
        <v>0</v>
      </c>
      <c r="I119" s="913">
        <v>0</v>
      </c>
      <c r="J119" s="913">
        <v>0</v>
      </c>
      <c r="K119" s="913">
        <v>0</v>
      </c>
      <c r="L119" s="913">
        <v>0</v>
      </c>
      <c r="M119" s="913">
        <v>0</v>
      </c>
      <c r="N119" s="913">
        <v>0</v>
      </c>
      <c r="O119" s="913">
        <v>0</v>
      </c>
      <c r="P119" s="913">
        <v>0</v>
      </c>
      <c r="Q119" s="913">
        <v>0</v>
      </c>
      <c r="R119" s="913">
        <v>0</v>
      </c>
      <c r="S119" s="913">
        <v>0</v>
      </c>
      <c r="T119" s="913">
        <v>0</v>
      </c>
      <c r="U119" s="913">
        <v>0</v>
      </c>
      <c r="V119" s="913">
        <v>0</v>
      </c>
      <c r="W119" s="913">
        <f t="shared" si="14"/>
        <v>0</v>
      </c>
    </row>
    <row r="120" spans="1:23" hidden="1" x14ac:dyDescent="0.2">
      <c r="A120" s="903"/>
      <c r="B120" s="908" t="s">
        <v>190</v>
      </c>
      <c r="C120" s="913">
        <v>0</v>
      </c>
      <c r="D120" s="913">
        <v>0</v>
      </c>
      <c r="E120" s="913">
        <v>0</v>
      </c>
      <c r="F120" s="913">
        <v>0</v>
      </c>
      <c r="G120" s="913">
        <v>0</v>
      </c>
      <c r="H120" s="913">
        <v>0</v>
      </c>
      <c r="I120" s="913">
        <v>0</v>
      </c>
      <c r="J120" s="913">
        <v>0</v>
      </c>
      <c r="K120" s="913">
        <v>0</v>
      </c>
      <c r="L120" s="913">
        <v>0</v>
      </c>
      <c r="M120" s="913">
        <v>0</v>
      </c>
      <c r="N120" s="913">
        <v>0</v>
      </c>
      <c r="O120" s="913">
        <v>0</v>
      </c>
      <c r="P120" s="913">
        <v>0</v>
      </c>
      <c r="Q120" s="913">
        <v>0</v>
      </c>
      <c r="R120" s="913">
        <v>0</v>
      </c>
      <c r="S120" s="913">
        <v>0</v>
      </c>
      <c r="T120" s="913">
        <v>0</v>
      </c>
      <c r="U120" s="913">
        <v>0</v>
      </c>
      <c r="V120" s="913">
        <v>0</v>
      </c>
      <c r="W120" s="913">
        <f t="shared" si="14"/>
        <v>0</v>
      </c>
    </row>
    <row r="121" spans="1:23" x14ac:dyDescent="0.2">
      <c r="A121" s="903"/>
      <c r="B121" s="908" t="s">
        <v>191</v>
      </c>
      <c r="C121" s="913">
        <v>0</v>
      </c>
      <c r="D121" s="913">
        <v>0</v>
      </c>
      <c r="E121" s="913">
        <v>0</v>
      </c>
      <c r="F121" s="913">
        <v>0</v>
      </c>
      <c r="G121" s="913">
        <v>0</v>
      </c>
      <c r="H121" s="913">
        <v>0</v>
      </c>
      <c r="I121" s="913">
        <v>0</v>
      </c>
      <c r="J121" s="913">
        <v>0</v>
      </c>
      <c r="K121" s="913">
        <v>0</v>
      </c>
      <c r="L121" s="913">
        <v>0</v>
      </c>
      <c r="M121" s="913">
        <v>0</v>
      </c>
      <c r="N121" s="913">
        <v>0</v>
      </c>
      <c r="O121" s="913">
        <v>0</v>
      </c>
      <c r="P121" s="913">
        <v>0</v>
      </c>
      <c r="Q121" s="913">
        <v>0</v>
      </c>
      <c r="R121" s="913">
        <v>0</v>
      </c>
      <c r="S121" s="913">
        <v>0</v>
      </c>
      <c r="T121" s="913">
        <v>0</v>
      </c>
      <c r="U121" s="913">
        <v>0</v>
      </c>
      <c r="V121" s="913">
        <v>-219723</v>
      </c>
      <c r="W121" s="913">
        <f t="shared" si="14"/>
        <v>-219723</v>
      </c>
    </row>
    <row r="122" spans="1:23" hidden="1" x14ac:dyDescent="0.2">
      <c r="A122" s="903"/>
      <c r="B122" s="908" t="s">
        <v>192</v>
      </c>
      <c r="C122" s="913">
        <v>0</v>
      </c>
      <c r="D122" s="913">
        <v>0</v>
      </c>
      <c r="E122" s="913">
        <v>0</v>
      </c>
      <c r="F122" s="913">
        <v>0</v>
      </c>
      <c r="G122" s="913">
        <v>0</v>
      </c>
      <c r="H122" s="913">
        <v>0</v>
      </c>
      <c r="I122" s="913">
        <v>0</v>
      </c>
      <c r="J122" s="913">
        <v>0</v>
      </c>
      <c r="K122" s="913">
        <v>0</v>
      </c>
      <c r="L122" s="913">
        <v>0</v>
      </c>
      <c r="M122" s="913">
        <v>0</v>
      </c>
      <c r="N122" s="913">
        <v>0</v>
      </c>
      <c r="O122" s="913">
        <v>0</v>
      </c>
      <c r="P122" s="913">
        <v>0</v>
      </c>
      <c r="Q122" s="913">
        <v>0</v>
      </c>
      <c r="R122" s="913">
        <v>0</v>
      </c>
      <c r="S122" s="913">
        <v>0</v>
      </c>
      <c r="T122" s="913">
        <v>0</v>
      </c>
      <c r="U122" s="913">
        <v>0</v>
      </c>
      <c r="V122" s="913">
        <v>0</v>
      </c>
      <c r="W122" s="913">
        <f t="shared" si="14"/>
        <v>0</v>
      </c>
    </row>
    <row r="123" spans="1:23" hidden="1" x14ac:dyDescent="0.2">
      <c r="A123" s="903"/>
      <c r="B123" s="908" t="s">
        <v>193</v>
      </c>
      <c r="C123" s="913">
        <v>0</v>
      </c>
      <c r="D123" s="913">
        <v>0</v>
      </c>
      <c r="E123" s="913">
        <v>0</v>
      </c>
      <c r="F123" s="913">
        <v>0</v>
      </c>
      <c r="G123" s="913">
        <v>0</v>
      </c>
      <c r="H123" s="913">
        <v>0</v>
      </c>
      <c r="I123" s="913">
        <v>0</v>
      </c>
      <c r="J123" s="913">
        <v>0</v>
      </c>
      <c r="K123" s="913">
        <v>0</v>
      </c>
      <c r="L123" s="913">
        <v>0</v>
      </c>
      <c r="M123" s="913">
        <v>0</v>
      </c>
      <c r="N123" s="913">
        <v>0</v>
      </c>
      <c r="O123" s="913">
        <v>0</v>
      </c>
      <c r="P123" s="913">
        <v>0</v>
      </c>
      <c r="Q123" s="913">
        <v>0</v>
      </c>
      <c r="R123" s="913">
        <v>0</v>
      </c>
      <c r="S123" s="913">
        <v>0</v>
      </c>
      <c r="T123" s="913">
        <v>0</v>
      </c>
      <c r="U123" s="913">
        <v>0</v>
      </c>
      <c r="V123" s="913">
        <v>0</v>
      </c>
      <c r="W123" s="913">
        <f t="shared" si="14"/>
        <v>0</v>
      </c>
    </row>
    <row r="124" spans="1:23" hidden="1" x14ac:dyDescent="0.2">
      <c r="A124" s="903"/>
      <c r="B124" s="908" t="s">
        <v>194</v>
      </c>
      <c r="C124" s="913">
        <v>0</v>
      </c>
      <c r="D124" s="913">
        <v>0</v>
      </c>
      <c r="E124" s="913">
        <v>0</v>
      </c>
      <c r="F124" s="913">
        <v>0</v>
      </c>
      <c r="G124" s="913">
        <v>0</v>
      </c>
      <c r="H124" s="913">
        <v>0</v>
      </c>
      <c r="I124" s="913">
        <v>0</v>
      </c>
      <c r="J124" s="913">
        <v>0</v>
      </c>
      <c r="K124" s="913">
        <v>0</v>
      </c>
      <c r="L124" s="913">
        <v>0</v>
      </c>
      <c r="M124" s="913">
        <v>0</v>
      </c>
      <c r="N124" s="913">
        <v>0</v>
      </c>
      <c r="O124" s="913">
        <v>0</v>
      </c>
      <c r="P124" s="913">
        <v>0</v>
      </c>
      <c r="Q124" s="913">
        <v>0</v>
      </c>
      <c r="R124" s="913">
        <v>0</v>
      </c>
      <c r="S124" s="913">
        <v>0</v>
      </c>
      <c r="T124" s="913">
        <v>0</v>
      </c>
      <c r="U124" s="913">
        <v>0</v>
      </c>
      <c r="V124" s="913">
        <v>0</v>
      </c>
      <c r="W124" s="913">
        <f t="shared" si="14"/>
        <v>0</v>
      </c>
    </row>
    <row r="125" spans="1:23" hidden="1" x14ac:dyDescent="0.2">
      <c r="A125" s="903"/>
      <c r="B125" s="908" t="s">
        <v>195</v>
      </c>
      <c r="C125" s="913">
        <v>0</v>
      </c>
      <c r="D125" s="913">
        <v>0</v>
      </c>
      <c r="E125" s="913">
        <v>0</v>
      </c>
      <c r="F125" s="913">
        <v>0</v>
      </c>
      <c r="G125" s="913">
        <v>0</v>
      </c>
      <c r="H125" s="913">
        <v>0</v>
      </c>
      <c r="I125" s="913">
        <v>0</v>
      </c>
      <c r="J125" s="913">
        <v>0</v>
      </c>
      <c r="K125" s="913">
        <v>0</v>
      </c>
      <c r="L125" s="913">
        <v>0</v>
      </c>
      <c r="M125" s="913">
        <v>0</v>
      </c>
      <c r="N125" s="913">
        <v>0</v>
      </c>
      <c r="O125" s="913">
        <v>0</v>
      </c>
      <c r="P125" s="913">
        <v>0</v>
      </c>
      <c r="Q125" s="913">
        <v>0</v>
      </c>
      <c r="R125" s="913">
        <v>0</v>
      </c>
      <c r="S125" s="913">
        <v>0</v>
      </c>
      <c r="T125" s="913">
        <v>0</v>
      </c>
      <c r="U125" s="913">
        <v>0</v>
      </c>
      <c r="V125" s="913">
        <v>0</v>
      </c>
      <c r="W125" s="913">
        <f t="shared" si="14"/>
        <v>0</v>
      </c>
    </row>
    <row r="126" spans="1:23" hidden="1" x14ac:dyDescent="0.2">
      <c r="A126" s="903"/>
      <c r="B126" s="908" t="s">
        <v>196</v>
      </c>
      <c r="C126" s="913">
        <v>0</v>
      </c>
      <c r="D126" s="913">
        <v>0</v>
      </c>
      <c r="E126" s="913">
        <v>0</v>
      </c>
      <c r="F126" s="913">
        <v>0</v>
      </c>
      <c r="G126" s="913">
        <v>0</v>
      </c>
      <c r="H126" s="913">
        <v>0</v>
      </c>
      <c r="I126" s="913">
        <v>0</v>
      </c>
      <c r="J126" s="913">
        <v>0</v>
      </c>
      <c r="K126" s="913">
        <v>0</v>
      </c>
      <c r="L126" s="913">
        <v>0</v>
      </c>
      <c r="M126" s="913">
        <v>0</v>
      </c>
      <c r="N126" s="913">
        <v>0</v>
      </c>
      <c r="O126" s="913">
        <v>0</v>
      </c>
      <c r="P126" s="913">
        <v>0</v>
      </c>
      <c r="Q126" s="913">
        <v>0</v>
      </c>
      <c r="R126" s="913">
        <v>0</v>
      </c>
      <c r="S126" s="913">
        <v>0</v>
      </c>
      <c r="T126" s="913">
        <v>0</v>
      </c>
      <c r="U126" s="913">
        <v>0</v>
      </c>
      <c r="V126" s="913">
        <v>0</v>
      </c>
      <c r="W126" s="913">
        <f t="shared" si="14"/>
        <v>0</v>
      </c>
    </row>
    <row r="127" spans="1:23" hidden="1" x14ac:dyDescent="0.2">
      <c r="A127" s="903"/>
      <c r="B127" s="908" t="s">
        <v>197</v>
      </c>
      <c r="C127" s="913">
        <v>0</v>
      </c>
      <c r="D127" s="913">
        <v>0</v>
      </c>
      <c r="E127" s="913">
        <v>0</v>
      </c>
      <c r="F127" s="913">
        <v>0</v>
      </c>
      <c r="G127" s="913">
        <v>0</v>
      </c>
      <c r="H127" s="913">
        <v>0</v>
      </c>
      <c r="I127" s="913">
        <v>0</v>
      </c>
      <c r="J127" s="913">
        <v>0</v>
      </c>
      <c r="K127" s="913">
        <v>0</v>
      </c>
      <c r="L127" s="913">
        <v>0</v>
      </c>
      <c r="M127" s="913">
        <v>0</v>
      </c>
      <c r="N127" s="913">
        <v>0</v>
      </c>
      <c r="O127" s="913">
        <v>0</v>
      </c>
      <c r="P127" s="913">
        <v>0</v>
      </c>
      <c r="Q127" s="913">
        <v>0</v>
      </c>
      <c r="R127" s="913">
        <v>0</v>
      </c>
      <c r="S127" s="913">
        <v>0</v>
      </c>
      <c r="T127" s="913">
        <v>0</v>
      </c>
      <c r="U127" s="913">
        <v>0</v>
      </c>
      <c r="V127" s="913">
        <v>0</v>
      </c>
      <c r="W127" s="913">
        <f t="shared" si="14"/>
        <v>0</v>
      </c>
    </row>
    <row r="128" spans="1:23" hidden="1" x14ac:dyDescent="0.2">
      <c r="A128" s="903"/>
      <c r="B128" s="908" t="s">
        <v>198</v>
      </c>
      <c r="C128" s="913">
        <v>0</v>
      </c>
      <c r="D128" s="913">
        <v>0</v>
      </c>
      <c r="E128" s="913">
        <v>0</v>
      </c>
      <c r="F128" s="913">
        <v>0</v>
      </c>
      <c r="G128" s="913">
        <v>0</v>
      </c>
      <c r="H128" s="913">
        <v>0</v>
      </c>
      <c r="I128" s="913">
        <v>0</v>
      </c>
      <c r="J128" s="913">
        <v>0</v>
      </c>
      <c r="K128" s="913">
        <v>0</v>
      </c>
      <c r="L128" s="913">
        <v>0</v>
      </c>
      <c r="M128" s="913">
        <v>0</v>
      </c>
      <c r="N128" s="913">
        <v>0</v>
      </c>
      <c r="O128" s="913">
        <v>0</v>
      </c>
      <c r="P128" s="913">
        <v>0</v>
      </c>
      <c r="Q128" s="913">
        <v>0</v>
      </c>
      <c r="R128" s="913">
        <v>0</v>
      </c>
      <c r="S128" s="913">
        <v>0</v>
      </c>
      <c r="T128" s="913">
        <v>0</v>
      </c>
      <c r="U128" s="913">
        <v>0</v>
      </c>
      <c r="V128" s="913">
        <v>0</v>
      </c>
      <c r="W128" s="913">
        <f t="shared" si="14"/>
        <v>0</v>
      </c>
    </row>
    <row r="129" spans="1:23" hidden="1" x14ac:dyDescent="0.2">
      <c r="A129" s="903"/>
      <c r="B129" s="908" t="s">
        <v>199</v>
      </c>
      <c r="C129" s="913">
        <v>0</v>
      </c>
      <c r="D129" s="913">
        <v>0</v>
      </c>
      <c r="E129" s="913">
        <v>0</v>
      </c>
      <c r="F129" s="913">
        <v>0</v>
      </c>
      <c r="G129" s="913">
        <v>0</v>
      </c>
      <c r="H129" s="913">
        <v>0</v>
      </c>
      <c r="I129" s="913">
        <v>0</v>
      </c>
      <c r="J129" s="913">
        <v>0</v>
      </c>
      <c r="K129" s="913">
        <v>0</v>
      </c>
      <c r="L129" s="913">
        <v>0</v>
      </c>
      <c r="M129" s="913">
        <v>0</v>
      </c>
      <c r="N129" s="913">
        <v>0</v>
      </c>
      <c r="O129" s="913">
        <v>0</v>
      </c>
      <c r="P129" s="913">
        <v>0</v>
      </c>
      <c r="Q129" s="913">
        <v>0</v>
      </c>
      <c r="R129" s="913">
        <v>0</v>
      </c>
      <c r="S129" s="913">
        <v>0</v>
      </c>
      <c r="T129" s="913">
        <v>0</v>
      </c>
      <c r="U129" s="913">
        <v>0</v>
      </c>
      <c r="V129" s="913">
        <v>0</v>
      </c>
      <c r="W129" s="913">
        <f t="shared" si="14"/>
        <v>0</v>
      </c>
    </row>
    <row r="130" spans="1:23" x14ac:dyDescent="0.2">
      <c r="A130" s="903"/>
      <c r="B130" s="908" t="s">
        <v>173</v>
      </c>
      <c r="C130" s="913"/>
      <c r="D130" s="913"/>
      <c r="E130" s="913"/>
      <c r="F130" s="913"/>
      <c r="G130" s="913"/>
      <c r="H130" s="913"/>
      <c r="I130" s="913"/>
      <c r="J130" s="913"/>
      <c r="K130" s="913"/>
      <c r="L130" s="913"/>
      <c r="M130" s="913"/>
      <c r="N130" s="913"/>
      <c r="O130" s="913"/>
      <c r="P130" s="913"/>
      <c r="Q130" s="913"/>
      <c r="R130" s="913"/>
      <c r="S130" s="913"/>
      <c r="T130" s="913"/>
      <c r="U130" s="913">
        <v>0</v>
      </c>
      <c r="V130" s="913">
        <v>-303770</v>
      </c>
      <c r="W130" s="913">
        <f t="shared" si="14"/>
        <v>-303770</v>
      </c>
    </row>
    <row r="131" spans="1:23" hidden="1" x14ac:dyDescent="0.2">
      <c r="A131" s="903"/>
      <c r="B131" s="908" t="s">
        <v>200</v>
      </c>
      <c r="C131" s="913">
        <v>0</v>
      </c>
      <c r="D131" s="913">
        <v>0</v>
      </c>
      <c r="E131" s="913">
        <v>0</v>
      </c>
      <c r="F131" s="913">
        <v>0</v>
      </c>
      <c r="G131" s="913">
        <v>0</v>
      </c>
      <c r="H131" s="913">
        <v>0</v>
      </c>
      <c r="I131" s="913">
        <v>0</v>
      </c>
      <c r="J131" s="913">
        <v>0</v>
      </c>
      <c r="K131" s="913">
        <v>0</v>
      </c>
      <c r="L131" s="913">
        <v>0</v>
      </c>
      <c r="M131" s="913">
        <v>0</v>
      </c>
      <c r="N131" s="913">
        <v>0</v>
      </c>
      <c r="O131" s="913">
        <v>0</v>
      </c>
      <c r="P131" s="913">
        <v>0</v>
      </c>
      <c r="Q131" s="913">
        <v>0</v>
      </c>
      <c r="R131" s="913">
        <v>0</v>
      </c>
      <c r="S131" s="913">
        <v>0</v>
      </c>
      <c r="T131" s="913">
        <v>0</v>
      </c>
      <c r="U131" s="913">
        <v>0</v>
      </c>
      <c r="V131" s="913">
        <v>0</v>
      </c>
      <c r="W131" s="913">
        <f t="shared" si="14"/>
        <v>0</v>
      </c>
    </row>
    <row r="132" spans="1:23" hidden="1" x14ac:dyDescent="0.2">
      <c r="A132" s="903"/>
      <c r="B132" s="908" t="s">
        <v>201</v>
      </c>
      <c r="C132" s="913">
        <v>0</v>
      </c>
      <c r="D132" s="913">
        <v>0</v>
      </c>
      <c r="E132" s="913">
        <v>0</v>
      </c>
      <c r="F132" s="913">
        <v>0</v>
      </c>
      <c r="G132" s="913">
        <v>0</v>
      </c>
      <c r="H132" s="913">
        <v>0</v>
      </c>
      <c r="I132" s="913">
        <v>0</v>
      </c>
      <c r="J132" s="913">
        <v>0</v>
      </c>
      <c r="K132" s="913">
        <v>0</v>
      </c>
      <c r="L132" s="913">
        <v>0</v>
      </c>
      <c r="M132" s="913">
        <v>0</v>
      </c>
      <c r="N132" s="913">
        <v>0</v>
      </c>
      <c r="O132" s="913">
        <v>0</v>
      </c>
      <c r="P132" s="913">
        <v>0</v>
      </c>
      <c r="Q132" s="913">
        <v>0</v>
      </c>
      <c r="R132" s="913">
        <v>0</v>
      </c>
      <c r="S132" s="913">
        <v>0</v>
      </c>
      <c r="T132" s="913">
        <v>0</v>
      </c>
      <c r="U132" s="913">
        <v>0</v>
      </c>
      <c r="V132" s="913">
        <v>0</v>
      </c>
      <c r="W132" s="913">
        <f t="shared" si="14"/>
        <v>0</v>
      </c>
    </row>
    <row r="133" spans="1:23" hidden="1" x14ac:dyDescent="0.2">
      <c r="A133" s="903"/>
      <c r="B133" s="908" t="s">
        <v>202</v>
      </c>
      <c r="C133" s="913">
        <v>0</v>
      </c>
      <c r="D133" s="913">
        <v>0</v>
      </c>
      <c r="E133" s="913">
        <v>0</v>
      </c>
      <c r="F133" s="913">
        <v>0</v>
      </c>
      <c r="G133" s="913">
        <v>0</v>
      </c>
      <c r="H133" s="913">
        <v>0</v>
      </c>
      <c r="I133" s="913">
        <v>0</v>
      </c>
      <c r="J133" s="913">
        <v>0</v>
      </c>
      <c r="K133" s="913">
        <v>0</v>
      </c>
      <c r="L133" s="913">
        <v>0</v>
      </c>
      <c r="M133" s="913">
        <v>0</v>
      </c>
      <c r="N133" s="913">
        <v>0</v>
      </c>
      <c r="O133" s="913">
        <v>0</v>
      </c>
      <c r="P133" s="913">
        <v>0</v>
      </c>
      <c r="Q133" s="913">
        <v>0</v>
      </c>
      <c r="R133" s="913">
        <v>0</v>
      </c>
      <c r="S133" s="913">
        <v>0</v>
      </c>
      <c r="T133" s="913">
        <v>0</v>
      </c>
      <c r="U133" s="913">
        <v>0</v>
      </c>
      <c r="V133" s="913">
        <v>0</v>
      </c>
      <c r="W133" s="913">
        <f t="shared" si="14"/>
        <v>0</v>
      </c>
    </row>
    <row r="134" spans="1:23" hidden="1" x14ac:dyDescent="0.2">
      <c r="A134" s="903"/>
      <c r="B134" s="908" t="s">
        <v>203</v>
      </c>
      <c r="C134" s="913">
        <v>0</v>
      </c>
      <c r="D134" s="913">
        <v>0</v>
      </c>
      <c r="E134" s="913">
        <v>0</v>
      </c>
      <c r="F134" s="913">
        <v>0</v>
      </c>
      <c r="G134" s="913">
        <v>0</v>
      </c>
      <c r="H134" s="913">
        <v>0</v>
      </c>
      <c r="I134" s="913">
        <v>0</v>
      </c>
      <c r="J134" s="913">
        <v>0</v>
      </c>
      <c r="K134" s="913">
        <v>0</v>
      </c>
      <c r="L134" s="913">
        <v>0</v>
      </c>
      <c r="M134" s="913">
        <v>0</v>
      </c>
      <c r="N134" s="913">
        <v>0</v>
      </c>
      <c r="O134" s="913">
        <v>0</v>
      </c>
      <c r="P134" s="913">
        <v>0</v>
      </c>
      <c r="Q134" s="913">
        <v>0</v>
      </c>
      <c r="R134" s="913">
        <v>0</v>
      </c>
      <c r="S134" s="913">
        <v>0</v>
      </c>
      <c r="T134" s="913">
        <v>0</v>
      </c>
      <c r="U134" s="913">
        <v>0</v>
      </c>
      <c r="V134" s="913">
        <v>0</v>
      </c>
      <c r="W134" s="913">
        <f t="shared" si="14"/>
        <v>0</v>
      </c>
    </row>
    <row r="135" spans="1:23" hidden="1" x14ac:dyDescent="0.2">
      <c r="A135" s="903"/>
      <c r="B135" s="908" t="s">
        <v>204</v>
      </c>
      <c r="C135" s="913">
        <v>0</v>
      </c>
      <c r="D135" s="913">
        <v>0</v>
      </c>
      <c r="E135" s="913">
        <v>0</v>
      </c>
      <c r="F135" s="913">
        <v>0</v>
      </c>
      <c r="G135" s="913">
        <v>0</v>
      </c>
      <c r="H135" s="913">
        <v>0</v>
      </c>
      <c r="I135" s="913">
        <v>0</v>
      </c>
      <c r="J135" s="913">
        <v>0</v>
      </c>
      <c r="K135" s="913">
        <v>0</v>
      </c>
      <c r="L135" s="913">
        <v>0</v>
      </c>
      <c r="M135" s="913">
        <v>0</v>
      </c>
      <c r="N135" s="913">
        <v>0</v>
      </c>
      <c r="O135" s="913">
        <v>0</v>
      </c>
      <c r="P135" s="913">
        <v>0</v>
      </c>
      <c r="Q135" s="913">
        <v>0</v>
      </c>
      <c r="R135" s="913">
        <v>0</v>
      </c>
      <c r="S135" s="913">
        <v>0</v>
      </c>
      <c r="T135" s="913">
        <v>0</v>
      </c>
      <c r="U135" s="913">
        <v>0</v>
      </c>
      <c r="V135" s="913">
        <v>0</v>
      </c>
      <c r="W135" s="913">
        <f t="shared" si="14"/>
        <v>0</v>
      </c>
    </row>
    <row r="136" spans="1:23" hidden="1" x14ac:dyDescent="0.2">
      <c r="A136" s="903"/>
      <c r="B136" s="908" t="s">
        <v>205</v>
      </c>
      <c r="C136" s="913">
        <v>0</v>
      </c>
      <c r="D136" s="913">
        <v>0</v>
      </c>
      <c r="E136" s="913">
        <v>0</v>
      </c>
      <c r="F136" s="913">
        <v>0</v>
      </c>
      <c r="G136" s="913">
        <v>0</v>
      </c>
      <c r="H136" s="913">
        <v>0</v>
      </c>
      <c r="I136" s="913">
        <v>0</v>
      </c>
      <c r="J136" s="913">
        <v>0</v>
      </c>
      <c r="K136" s="913">
        <v>0</v>
      </c>
      <c r="L136" s="913">
        <v>0</v>
      </c>
      <c r="M136" s="913">
        <v>0</v>
      </c>
      <c r="N136" s="913">
        <v>0</v>
      </c>
      <c r="O136" s="913">
        <v>0</v>
      </c>
      <c r="P136" s="913">
        <v>0</v>
      </c>
      <c r="Q136" s="913">
        <v>0</v>
      </c>
      <c r="R136" s="913">
        <v>0</v>
      </c>
      <c r="S136" s="913">
        <v>0</v>
      </c>
      <c r="T136" s="913">
        <v>0</v>
      </c>
      <c r="U136" s="913">
        <v>0</v>
      </c>
      <c r="V136" s="913">
        <v>0</v>
      </c>
      <c r="W136" s="913">
        <f t="shared" si="14"/>
        <v>0</v>
      </c>
    </row>
    <row r="137" spans="1:23" hidden="1" x14ac:dyDescent="0.2">
      <c r="A137" s="903"/>
      <c r="B137" s="908" t="s">
        <v>206</v>
      </c>
      <c r="C137" s="913">
        <v>0</v>
      </c>
      <c r="D137" s="913">
        <v>0</v>
      </c>
      <c r="E137" s="913">
        <v>0</v>
      </c>
      <c r="F137" s="913">
        <v>0</v>
      </c>
      <c r="G137" s="913">
        <v>0</v>
      </c>
      <c r="H137" s="913">
        <v>0</v>
      </c>
      <c r="I137" s="913">
        <v>0</v>
      </c>
      <c r="J137" s="913">
        <v>0</v>
      </c>
      <c r="K137" s="913">
        <v>0</v>
      </c>
      <c r="L137" s="913">
        <v>0</v>
      </c>
      <c r="M137" s="913">
        <v>0</v>
      </c>
      <c r="N137" s="913">
        <v>0</v>
      </c>
      <c r="O137" s="913">
        <v>0</v>
      </c>
      <c r="P137" s="913">
        <v>0</v>
      </c>
      <c r="Q137" s="913">
        <v>0</v>
      </c>
      <c r="R137" s="913">
        <v>0</v>
      </c>
      <c r="S137" s="913">
        <v>0</v>
      </c>
      <c r="T137" s="913">
        <v>0</v>
      </c>
      <c r="U137" s="913">
        <v>0</v>
      </c>
      <c r="V137" s="913">
        <v>0</v>
      </c>
      <c r="W137" s="913">
        <f t="shared" si="14"/>
        <v>0</v>
      </c>
    </row>
    <row r="138" spans="1:23" hidden="1" x14ac:dyDescent="0.2">
      <c r="A138" s="903"/>
      <c r="B138" s="908" t="s">
        <v>207</v>
      </c>
      <c r="C138" s="913">
        <v>0</v>
      </c>
      <c r="D138" s="913">
        <v>0</v>
      </c>
      <c r="E138" s="913">
        <v>0</v>
      </c>
      <c r="F138" s="913">
        <v>0</v>
      </c>
      <c r="G138" s="913">
        <v>0</v>
      </c>
      <c r="H138" s="913">
        <v>0</v>
      </c>
      <c r="I138" s="913">
        <v>0</v>
      </c>
      <c r="J138" s="913">
        <v>0</v>
      </c>
      <c r="K138" s="913">
        <v>0</v>
      </c>
      <c r="L138" s="913">
        <v>0</v>
      </c>
      <c r="M138" s="913">
        <v>0</v>
      </c>
      <c r="N138" s="913">
        <v>0</v>
      </c>
      <c r="O138" s="913">
        <v>0</v>
      </c>
      <c r="P138" s="913">
        <v>0</v>
      </c>
      <c r="Q138" s="913">
        <v>0</v>
      </c>
      <c r="R138" s="913">
        <v>0</v>
      </c>
      <c r="S138" s="913">
        <v>0</v>
      </c>
      <c r="T138" s="913">
        <v>0</v>
      </c>
      <c r="U138" s="913">
        <v>0</v>
      </c>
      <c r="V138" s="913">
        <v>0</v>
      </c>
      <c r="W138" s="913">
        <f t="shared" si="14"/>
        <v>0</v>
      </c>
    </row>
    <row r="139" spans="1:23" hidden="1" x14ac:dyDescent="0.2">
      <c r="A139" s="903"/>
      <c r="B139" s="908" t="s">
        <v>208</v>
      </c>
      <c r="C139" s="913">
        <v>0</v>
      </c>
      <c r="D139" s="913">
        <v>0</v>
      </c>
      <c r="E139" s="913">
        <v>0</v>
      </c>
      <c r="F139" s="913">
        <v>0</v>
      </c>
      <c r="G139" s="913">
        <v>0</v>
      </c>
      <c r="H139" s="913">
        <v>0</v>
      </c>
      <c r="I139" s="913">
        <v>0</v>
      </c>
      <c r="J139" s="913">
        <v>0</v>
      </c>
      <c r="K139" s="913">
        <v>0</v>
      </c>
      <c r="L139" s="913">
        <v>0</v>
      </c>
      <c r="M139" s="913">
        <v>0</v>
      </c>
      <c r="N139" s="913">
        <v>0</v>
      </c>
      <c r="O139" s="913">
        <v>0</v>
      </c>
      <c r="P139" s="913">
        <v>0</v>
      </c>
      <c r="Q139" s="913">
        <v>0</v>
      </c>
      <c r="R139" s="913">
        <v>0</v>
      </c>
      <c r="S139" s="913">
        <v>0</v>
      </c>
      <c r="T139" s="913">
        <v>0</v>
      </c>
      <c r="U139" s="913">
        <v>0</v>
      </c>
      <c r="V139" s="913">
        <v>0</v>
      </c>
      <c r="W139" s="913">
        <f t="shared" si="14"/>
        <v>0</v>
      </c>
    </row>
    <row r="140" spans="1:23" hidden="1" x14ac:dyDescent="0.2">
      <c r="A140" s="903"/>
      <c r="B140" s="908" t="s">
        <v>209</v>
      </c>
      <c r="C140" s="913">
        <v>0</v>
      </c>
      <c r="D140" s="913">
        <v>0</v>
      </c>
      <c r="E140" s="913">
        <v>0</v>
      </c>
      <c r="F140" s="913">
        <v>0</v>
      </c>
      <c r="G140" s="913">
        <v>0</v>
      </c>
      <c r="H140" s="913">
        <v>0</v>
      </c>
      <c r="I140" s="913">
        <v>0</v>
      </c>
      <c r="J140" s="913">
        <v>0</v>
      </c>
      <c r="K140" s="913">
        <v>0</v>
      </c>
      <c r="L140" s="913">
        <v>0</v>
      </c>
      <c r="M140" s="913">
        <v>0</v>
      </c>
      <c r="N140" s="913">
        <v>0</v>
      </c>
      <c r="O140" s="913">
        <v>0</v>
      </c>
      <c r="P140" s="913">
        <v>0</v>
      </c>
      <c r="Q140" s="913">
        <v>0</v>
      </c>
      <c r="R140" s="913">
        <v>0</v>
      </c>
      <c r="S140" s="913">
        <v>0</v>
      </c>
      <c r="T140" s="913">
        <v>0</v>
      </c>
      <c r="U140" s="913">
        <v>0</v>
      </c>
      <c r="V140" s="913">
        <v>0</v>
      </c>
      <c r="W140" s="913">
        <f t="shared" si="14"/>
        <v>0</v>
      </c>
    </row>
    <row r="141" spans="1:23" hidden="1" x14ac:dyDescent="0.2">
      <c r="A141" s="903"/>
      <c r="B141" s="908" t="s">
        <v>210</v>
      </c>
      <c r="C141" s="913">
        <v>0</v>
      </c>
      <c r="D141" s="913">
        <v>0</v>
      </c>
      <c r="E141" s="913">
        <v>0</v>
      </c>
      <c r="F141" s="913">
        <v>0</v>
      </c>
      <c r="G141" s="913">
        <v>0</v>
      </c>
      <c r="H141" s="913">
        <v>0</v>
      </c>
      <c r="I141" s="913">
        <v>0</v>
      </c>
      <c r="J141" s="913">
        <v>0</v>
      </c>
      <c r="K141" s="913">
        <v>0</v>
      </c>
      <c r="L141" s="913">
        <v>0</v>
      </c>
      <c r="M141" s="913">
        <v>0</v>
      </c>
      <c r="N141" s="913">
        <v>0</v>
      </c>
      <c r="O141" s="913">
        <v>0</v>
      </c>
      <c r="P141" s="913">
        <v>0</v>
      </c>
      <c r="Q141" s="913">
        <v>0</v>
      </c>
      <c r="R141" s="913">
        <v>0</v>
      </c>
      <c r="S141" s="913">
        <v>0</v>
      </c>
      <c r="T141" s="913">
        <v>0</v>
      </c>
      <c r="U141" s="913">
        <v>0</v>
      </c>
      <c r="V141" s="913">
        <v>0</v>
      </c>
      <c r="W141" s="913">
        <f t="shared" si="14"/>
        <v>0</v>
      </c>
    </row>
    <row r="142" spans="1:23" hidden="1" x14ac:dyDescent="0.2">
      <c r="A142" s="903"/>
      <c r="B142" s="908" t="s">
        <v>211</v>
      </c>
      <c r="C142" s="913">
        <v>0</v>
      </c>
      <c r="D142" s="913">
        <v>0</v>
      </c>
      <c r="E142" s="913">
        <v>0</v>
      </c>
      <c r="F142" s="913">
        <v>0</v>
      </c>
      <c r="G142" s="913">
        <v>0</v>
      </c>
      <c r="H142" s="913">
        <v>0</v>
      </c>
      <c r="I142" s="913">
        <v>0</v>
      </c>
      <c r="J142" s="913">
        <v>0</v>
      </c>
      <c r="K142" s="913">
        <v>0</v>
      </c>
      <c r="L142" s="913">
        <v>0</v>
      </c>
      <c r="M142" s="913">
        <v>0</v>
      </c>
      <c r="N142" s="913">
        <v>0</v>
      </c>
      <c r="O142" s="913">
        <v>0</v>
      </c>
      <c r="P142" s="913">
        <v>0</v>
      </c>
      <c r="Q142" s="913">
        <v>0</v>
      </c>
      <c r="R142" s="913">
        <v>0</v>
      </c>
      <c r="S142" s="913">
        <v>0</v>
      </c>
      <c r="T142" s="913">
        <v>0</v>
      </c>
      <c r="U142" s="913">
        <v>0</v>
      </c>
      <c r="V142" s="913">
        <v>0</v>
      </c>
      <c r="W142" s="913">
        <f t="shared" si="14"/>
        <v>0</v>
      </c>
    </row>
    <row r="143" spans="1:23" hidden="1" x14ac:dyDescent="0.2">
      <c r="A143" s="903"/>
      <c r="B143" s="908" t="s">
        <v>212</v>
      </c>
      <c r="C143" s="913">
        <v>0</v>
      </c>
      <c r="D143" s="913">
        <v>0</v>
      </c>
      <c r="E143" s="913">
        <v>0</v>
      </c>
      <c r="F143" s="913">
        <v>0</v>
      </c>
      <c r="G143" s="913">
        <v>0</v>
      </c>
      <c r="H143" s="913">
        <v>0</v>
      </c>
      <c r="I143" s="913">
        <v>0</v>
      </c>
      <c r="J143" s="913">
        <v>0</v>
      </c>
      <c r="K143" s="913">
        <v>0</v>
      </c>
      <c r="L143" s="913">
        <v>0</v>
      </c>
      <c r="M143" s="913">
        <v>0</v>
      </c>
      <c r="N143" s="913">
        <v>0</v>
      </c>
      <c r="O143" s="913">
        <v>0</v>
      </c>
      <c r="P143" s="913">
        <v>0</v>
      </c>
      <c r="Q143" s="913">
        <v>0</v>
      </c>
      <c r="R143" s="913">
        <v>0</v>
      </c>
      <c r="S143" s="913">
        <v>0</v>
      </c>
      <c r="T143" s="913">
        <v>0</v>
      </c>
      <c r="U143" s="913">
        <v>0</v>
      </c>
      <c r="V143" s="913">
        <v>0</v>
      </c>
      <c r="W143" s="913">
        <f t="shared" si="14"/>
        <v>0</v>
      </c>
    </row>
    <row r="144" spans="1:23" hidden="1" x14ac:dyDescent="0.2">
      <c r="A144" s="903"/>
      <c r="B144" s="908" t="s">
        <v>213</v>
      </c>
      <c r="C144" s="913">
        <v>0</v>
      </c>
      <c r="D144" s="913">
        <v>0</v>
      </c>
      <c r="E144" s="913">
        <v>0</v>
      </c>
      <c r="F144" s="913">
        <v>0</v>
      </c>
      <c r="G144" s="913">
        <v>0</v>
      </c>
      <c r="H144" s="913">
        <v>0</v>
      </c>
      <c r="I144" s="913">
        <v>0</v>
      </c>
      <c r="J144" s="913">
        <v>0</v>
      </c>
      <c r="K144" s="913">
        <v>0</v>
      </c>
      <c r="L144" s="913">
        <v>0</v>
      </c>
      <c r="M144" s="913">
        <v>0</v>
      </c>
      <c r="N144" s="913">
        <v>0</v>
      </c>
      <c r="O144" s="913">
        <v>0</v>
      </c>
      <c r="P144" s="913">
        <v>0</v>
      </c>
      <c r="Q144" s="913">
        <v>0</v>
      </c>
      <c r="R144" s="913">
        <v>0</v>
      </c>
      <c r="S144" s="913">
        <v>0</v>
      </c>
      <c r="T144" s="913">
        <v>0</v>
      </c>
      <c r="U144" s="913">
        <v>0</v>
      </c>
      <c r="V144" s="913">
        <v>0</v>
      </c>
      <c r="W144" s="913">
        <f t="shared" si="14"/>
        <v>0</v>
      </c>
    </row>
    <row r="145" spans="1:23" hidden="1" x14ac:dyDescent="0.2">
      <c r="A145" s="903"/>
      <c r="B145" s="908" t="s">
        <v>214</v>
      </c>
      <c r="C145" s="913">
        <v>0</v>
      </c>
      <c r="D145" s="913">
        <v>0</v>
      </c>
      <c r="E145" s="913">
        <v>0</v>
      </c>
      <c r="F145" s="913">
        <v>0</v>
      </c>
      <c r="G145" s="913">
        <v>0</v>
      </c>
      <c r="H145" s="913">
        <v>0</v>
      </c>
      <c r="I145" s="913">
        <v>0</v>
      </c>
      <c r="J145" s="913">
        <v>0</v>
      </c>
      <c r="K145" s="913">
        <v>0</v>
      </c>
      <c r="L145" s="913">
        <v>0</v>
      </c>
      <c r="M145" s="913">
        <v>0</v>
      </c>
      <c r="N145" s="913">
        <v>0</v>
      </c>
      <c r="O145" s="913">
        <v>0</v>
      </c>
      <c r="P145" s="913">
        <v>0</v>
      </c>
      <c r="Q145" s="913">
        <v>0</v>
      </c>
      <c r="R145" s="913">
        <v>0</v>
      </c>
      <c r="S145" s="913">
        <v>0</v>
      </c>
      <c r="T145" s="913">
        <v>0</v>
      </c>
      <c r="U145" s="913">
        <v>0</v>
      </c>
      <c r="V145" s="913">
        <v>0</v>
      </c>
      <c r="W145" s="913">
        <f t="shared" si="14"/>
        <v>0</v>
      </c>
    </row>
    <row r="146" spans="1:23" hidden="1" x14ac:dyDescent="0.2">
      <c r="A146" s="903"/>
      <c r="B146" s="908" t="s">
        <v>215</v>
      </c>
      <c r="C146" s="913">
        <v>0</v>
      </c>
      <c r="D146" s="913">
        <v>0</v>
      </c>
      <c r="E146" s="913">
        <v>0</v>
      </c>
      <c r="F146" s="913">
        <v>0</v>
      </c>
      <c r="G146" s="913">
        <v>0</v>
      </c>
      <c r="H146" s="913">
        <v>0</v>
      </c>
      <c r="I146" s="913">
        <v>0</v>
      </c>
      <c r="J146" s="913">
        <v>0</v>
      </c>
      <c r="K146" s="913">
        <v>0</v>
      </c>
      <c r="L146" s="913">
        <v>0</v>
      </c>
      <c r="M146" s="913">
        <v>0</v>
      </c>
      <c r="N146" s="913">
        <v>0</v>
      </c>
      <c r="O146" s="913">
        <v>0</v>
      </c>
      <c r="P146" s="913">
        <v>0</v>
      </c>
      <c r="Q146" s="913">
        <v>0</v>
      </c>
      <c r="R146" s="913">
        <v>0</v>
      </c>
      <c r="S146" s="913">
        <v>0</v>
      </c>
      <c r="T146" s="913">
        <v>0</v>
      </c>
      <c r="U146" s="913">
        <v>0</v>
      </c>
      <c r="V146" s="913">
        <v>0</v>
      </c>
      <c r="W146" s="913">
        <f t="shared" si="14"/>
        <v>0</v>
      </c>
    </row>
    <row r="147" spans="1:23" hidden="1" x14ac:dyDescent="0.2">
      <c r="A147" s="903"/>
      <c r="B147" s="908" t="s">
        <v>216</v>
      </c>
      <c r="C147" s="913">
        <v>0</v>
      </c>
      <c r="D147" s="913">
        <v>0</v>
      </c>
      <c r="E147" s="913">
        <v>0</v>
      </c>
      <c r="F147" s="913">
        <v>0</v>
      </c>
      <c r="G147" s="913">
        <v>0</v>
      </c>
      <c r="H147" s="913">
        <v>0</v>
      </c>
      <c r="I147" s="913">
        <v>0</v>
      </c>
      <c r="J147" s="913">
        <v>0</v>
      </c>
      <c r="K147" s="913">
        <v>0</v>
      </c>
      <c r="L147" s="913">
        <v>0</v>
      </c>
      <c r="M147" s="913">
        <v>0</v>
      </c>
      <c r="N147" s="913">
        <v>0</v>
      </c>
      <c r="O147" s="913">
        <v>0</v>
      </c>
      <c r="P147" s="913">
        <v>0</v>
      </c>
      <c r="Q147" s="913">
        <v>0</v>
      </c>
      <c r="R147" s="913">
        <v>0</v>
      </c>
      <c r="S147" s="913">
        <v>0</v>
      </c>
      <c r="T147" s="913">
        <v>0</v>
      </c>
      <c r="U147" s="913">
        <v>0</v>
      </c>
      <c r="V147" s="913">
        <v>0</v>
      </c>
      <c r="W147" s="913">
        <f t="shared" si="14"/>
        <v>0</v>
      </c>
    </row>
    <row r="148" spans="1:23" hidden="1" x14ac:dyDescent="0.2">
      <c r="A148" s="903"/>
      <c r="B148" s="908" t="s">
        <v>217</v>
      </c>
      <c r="C148" s="913">
        <v>0</v>
      </c>
      <c r="D148" s="913">
        <v>0</v>
      </c>
      <c r="E148" s="913">
        <v>0</v>
      </c>
      <c r="F148" s="913">
        <v>0</v>
      </c>
      <c r="G148" s="913">
        <v>0</v>
      </c>
      <c r="H148" s="913">
        <v>0</v>
      </c>
      <c r="I148" s="913">
        <v>0</v>
      </c>
      <c r="J148" s="913">
        <v>0</v>
      </c>
      <c r="K148" s="913">
        <v>0</v>
      </c>
      <c r="L148" s="913">
        <v>0</v>
      </c>
      <c r="M148" s="913">
        <v>0</v>
      </c>
      <c r="N148" s="913">
        <v>0</v>
      </c>
      <c r="O148" s="913">
        <v>0</v>
      </c>
      <c r="P148" s="913">
        <v>0</v>
      </c>
      <c r="Q148" s="913">
        <v>0</v>
      </c>
      <c r="R148" s="913">
        <v>0</v>
      </c>
      <c r="S148" s="913">
        <v>0</v>
      </c>
      <c r="T148" s="913">
        <v>0</v>
      </c>
      <c r="U148" s="913">
        <v>0</v>
      </c>
      <c r="V148" s="913">
        <v>0</v>
      </c>
      <c r="W148" s="913">
        <f t="shared" si="14"/>
        <v>0</v>
      </c>
    </row>
    <row r="149" spans="1:23" x14ac:dyDescent="0.2">
      <c r="A149" s="903"/>
      <c r="B149" s="908" t="s">
        <v>218</v>
      </c>
      <c r="C149" s="913">
        <v>0</v>
      </c>
      <c r="D149" s="913">
        <v>0</v>
      </c>
      <c r="E149" s="913">
        <v>0</v>
      </c>
      <c r="F149" s="913">
        <v>0</v>
      </c>
      <c r="G149" s="913">
        <v>0</v>
      </c>
      <c r="H149" s="913">
        <v>0</v>
      </c>
      <c r="I149" s="913">
        <v>0</v>
      </c>
      <c r="J149" s="913">
        <v>0</v>
      </c>
      <c r="K149" s="913">
        <v>0</v>
      </c>
      <c r="L149" s="913">
        <v>0</v>
      </c>
      <c r="M149" s="913">
        <v>0</v>
      </c>
      <c r="N149" s="913">
        <v>0</v>
      </c>
      <c r="O149" s="913">
        <v>0</v>
      </c>
      <c r="P149" s="913">
        <v>0</v>
      </c>
      <c r="Q149" s="913">
        <v>0</v>
      </c>
      <c r="R149" s="913">
        <v>0</v>
      </c>
      <c r="S149" s="913">
        <v>0</v>
      </c>
      <c r="T149" s="913">
        <v>0</v>
      </c>
      <c r="U149" s="913">
        <v>0</v>
      </c>
      <c r="V149" s="913">
        <v>-305000</v>
      </c>
      <c r="W149" s="913">
        <f t="shared" si="14"/>
        <v>-305000</v>
      </c>
    </row>
    <row r="150" spans="1:23" hidden="1" x14ac:dyDescent="0.2">
      <c r="A150" s="903"/>
      <c r="B150" s="908" t="s">
        <v>219</v>
      </c>
      <c r="C150" s="913">
        <v>0</v>
      </c>
      <c r="D150" s="913">
        <v>0</v>
      </c>
      <c r="E150" s="913">
        <v>0</v>
      </c>
      <c r="F150" s="913">
        <v>0</v>
      </c>
      <c r="G150" s="913">
        <v>0</v>
      </c>
      <c r="H150" s="913">
        <v>0</v>
      </c>
      <c r="I150" s="913">
        <v>0</v>
      </c>
      <c r="J150" s="913">
        <v>0</v>
      </c>
      <c r="K150" s="913">
        <v>0</v>
      </c>
      <c r="L150" s="913">
        <v>0</v>
      </c>
      <c r="M150" s="913">
        <v>0</v>
      </c>
      <c r="N150" s="913">
        <v>0</v>
      </c>
      <c r="O150" s="913">
        <v>0</v>
      </c>
      <c r="P150" s="913">
        <v>0</v>
      </c>
      <c r="Q150" s="913">
        <v>0</v>
      </c>
      <c r="R150" s="913">
        <v>0</v>
      </c>
      <c r="S150" s="913">
        <v>0</v>
      </c>
      <c r="T150" s="913">
        <v>0</v>
      </c>
      <c r="U150" s="913">
        <v>0</v>
      </c>
      <c r="V150" s="913">
        <v>0</v>
      </c>
      <c r="W150" s="913">
        <f t="shared" si="14"/>
        <v>0</v>
      </c>
    </row>
    <row r="151" spans="1:23" hidden="1" x14ac:dyDescent="0.2">
      <c r="A151" s="903"/>
      <c r="B151" s="908" t="s">
        <v>220</v>
      </c>
      <c r="C151" s="913">
        <v>0</v>
      </c>
      <c r="D151" s="913">
        <v>0</v>
      </c>
      <c r="E151" s="913">
        <v>0</v>
      </c>
      <c r="F151" s="913">
        <v>0</v>
      </c>
      <c r="G151" s="913">
        <v>0</v>
      </c>
      <c r="H151" s="913">
        <v>0</v>
      </c>
      <c r="I151" s="913">
        <v>0</v>
      </c>
      <c r="J151" s="913">
        <v>0</v>
      </c>
      <c r="K151" s="913">
        <v>0</v>
      </c>
      <c r="L151" s="913">
        <v>0</v>
      </c>
      <c r="M151" s="913">
        <v>0</v>
      </c>
      <c r="N151" s="913">
        <v>0</v>
      </c>
      <c r="O151" s="913">
        <v>0</v>
      </c>
      <c r="P151" s="913">
        <v>0</v>
      </c>
      <c r="Q151" s="913">
        <v>0</v>
      </c>
      <c r="R151" s="913">
        <v>0</v>
      </c>
      <c r="S151" s="913">
        <v>0</v>
      </c>
      <c r="T151" s="913">
        <v>0</v>
      </c>
      <c r="U151" s="913">
        <v>0</v>
      </c>
      <c r="V151" s="913">
        <v>0</v>
      </c>
      <c r="W151" s="913">
        <f t="shared" si="14"/>
        <v>0</v>
      </c>
    </row>
    <row r="152" spans="1:23" hidden="1" x14ac:dyDescent="0.2">
      <c r="A152" s="903"/>
      <c r="B152" s="908" t="s">
        <v>221</v>
      </c>
      <c r="C152" s="913">
        <v>0</v>
      </c>
      <c r="D152" s="913">
        <v>0</v>
      </c>
      <c r="E152" s="913">
        <v>0</v>
      </c>
      <c r="F152" s="913">
        <v>0</v>
      </c>
      <c r="G152" s="913">
        <v>0</v>
      </c>
      <c r="H152" s="913">
        <v>0</v>
      </c>
      <c r="I152" s="913">
        <v>0</v>
      </c>
      <c r="J152" s="913">
        <v>0</v>
      </c>
      <c r="K152" s="913">
        <v>0</v>
      </c>
      <c r="L152" s="913">
        <v>0</v>
      </c>
      <c r="M152" s="913">
        <v>0</v>
      </c>
      <c r="N152" s="913">
        <v>0</v>
      </c>
      <c r="O152" s="913">
        <v>0</v>
      </c>
      <c r="P152" s="913">
        <v>0</v>
      </c>
      <c r="Q152" s="913">
        <v>0</v>
      </c>
      <c r="R152" s="913">
        <v>0</v>
      </c>
      <c r="S152" s="913">
        <v>0</v>
      </c>
      <c r="T152" s="913">
        <v>0</v>
      </c>
      <c r="U152" s="913">
        <v>0</v>
      </c>
      <c r="V152" s="913">
        <v>0</v>
      </c>
      <c r="W152" s="913">
        <f t="shared" si="14"/>
        <v>0</v>
      </c>
    </row>
    <row r="153" spans="1:23" hidden="1" x14ac:dyDescent="0.2">
      <c r="A153" s="903" t="s">
        <v>10</v>
      </c>
      <c r="B153" s="908" t="s">
        <v>142</v>
      </c>
      <c r="C153" s="913">
        <v>0</v>
      </c>
      <c r="D153" s="913">
        <v>0</v>
      </c>
      <c r="E153" s="913">
        <v>0</v>
      </c>
      <c r="F153" s="913">
        <v>0</v>
      </c>
      <c r="G153" s="913">
        <v>0</v>
      </c>
      <c r="H153" s="913">
        <v>0</v>
      </c>
      <c r="I153" s="913">
        <v>0</v>
      </c>
      <c r="J153" s="913">
        <v>0</v>
      </c>
      <c r="K153" s="913">
        <v>0</v>
      </c>
      <c r="L153" s="913">
        <v>0</v>
      </c>
      <c r="M153" s="913">
        <v>0</v>
      </c>
      <c r="N153" s="913">
        <v>0</v>
      </c>
      <c r="O153" s="913">
        <v>0</v>
      </c>
      <c r="P153" s="913">
        <v>0</v>
      </c>
      <c r="Q153" s="913">
        <v>0</v>
      </c>
      <c r="R153" s="913">
        <v>0</v>
      </c>
      <c r="S153" s="913">
        <v>0</v>
      </c>
      <c r="T153" s="913">
        <v>0</v>
      </c>
      <c r="U153" s="913">
        <v>0</v>
      </c>
      <c r="V153" s="913">
        <v>0</v>
      </c>
      <c r="W153" s="913">
        <f t="shared" si="14"/>
        <v>0</v>
      </c>
    </row>
    <row r="154" spans="1:23" hidden="1" x14ac:dyDescent="0.2">
      <c r="A154" s="903" t="s">
        <v>10</v>
      </c>
      <c r="B154" s="908" t="s">
        <v>141</v>
      </c>
      <c r="C154" s="913">
        <v>0</v>
      </c>
      <c r="D154" s="913">
        <v>0</v>
      </c>
      <c r="E154" s="913">
        <v>0</v>
      </c>
      <c r="F154" s="913">
        <v>0</v>
      </c>
      <c r="G154" s="913">
        <v>0</v>
      </c>
      <c r="H154" s="913">
        <v>0</v>
      </c>
      <c r="I154" s="913">
        <v>0</v>
      </c>
      <c r="J154" s="913">
        <v>0</v>
      </c>
      <c r="K154" s="913">
        <v>0</v>
      </c>
      <c r="L154" s="913">
        <v>0</v>
      </c>
      <c r="M154" s="913">
        <v>0</v>
      </c>
      <c r="N154" s="913">
        <v>0</v>
      </c>
      <c r="O154" s="913">
        <v>0</v>
      </c>
      <c r="P154" s="913">
        <v>0</v>
      </c>
      <c r="Q154" s="913">
        <v>0</v>
      </c>
      <c r="R154" s="913">
        <v>0</v>
      </c>
      <c r="S154" s="913">
        <v>0</v>
      </c>
      <c r="T154" s="913">
        <v>0</v>
      </c>
      <c r="U154" s="913">
        <v>0</v>
      </c>
      <c r="V154" s="913">
        <v>0</v>
      </c>
      <c r="W154" s="913">
        <f t="shared" si="14"/>
        <v>0</v>
      </c>
    </row>
    <row r="155" spans="1:23" hidden="1" x14ac:dyDescent="0.2">
      <c r="A155" s="903" t="s">
        <v>33</v>
      </c>
      <c r="B155" s="908" t="s">
        <v>222</v>
      </c>
      <c r="C155" s="913">
        <v>0</v>
      </c>
      <c r="D155" s="913">
        <v>0</v>
      </c>
      <c r="E155" s="913">
        <v>0</v>
      </c>
      <c r="F155" s="913">
        <v>0</v>
      </c>
      <c r="G155" s="913">
        <v>0</v>
      </c>
      <c r="H155" s="913">
        <v>0</v>
      </c>
      <c r="I155" s="913">
        <v>0</v>
      </c>
      <c r="J155" s="913">
        <v>0</v>
      </c>
      <c r="K155" s="913">
        <v>0</v>
      </c>
      <c r="L155" s="913">
        <v>0</v>
      </c>
      <c r="M155" s="913">
        <v>0</v>
      </c>
      <c r="N155" s="913">
        <v>0</v>
      </c>
      <c r="O155" s="913">
        <v>0</v>
      </c>
      <c r="P155" s="913">
        <v>0</v>
      </c>
      <c r="Q155" s="913">
        <v>0</v>
      </c>
      <c r="R155" s="913">
        <v>0</v>
      </c>
      <c r="S155" s="913">
        <v>0</v>
      </c>
      <c r="T155" s="913">
        <v>0</v>
      </c>
      <c r="U155" s="913">
        <v>0</v>
      </c>
      <c r="V155" s="913">
        <v>0</v>
      </c>
      <c r="W155" s="913">
        <f t="shared" si="14"/>
        <v>0</v>
      </c>
    </row>
    <row r="156" spans="1:23" hidden="1" x14ac:dyDescent="0.2">
      <c r="A156" s="903" t="s">
        <v>10</v>
      </c>
      <c r="B156" s="908" t="s">
        <v>138</v>
      </c>
      <c r="C156" s="913">
        <v>0</v>
      </c>
      <c r="D156" s="913">
        <v>0</v>
      </c>
      <c r="E156" s="913">
        <v>0</v>
      </c>
      <c r="F156" s="913">
        <v>0</v>
      </c>
      <c r="G156" s="913">
        <v>0</v>
      </c>
      <c r="H156" s="913">
        <v>0</v>
      </c>
      <c r="I156" s="913">
        <v>0</v>
      </c>
      <c r="J156" s="913">
        <v>0</v>
      </c>
      <c r="K156" s="913">
        <v>0</v>
      </c>
      <c r="L156" s="913">
        <v>0</v>
      </c>
      <c r="M156" s="913">
        <v>0</v>
      </c>
      <c r="N156" s="913">
        <v>0</v>
      </c>
      <c r="O156" s="913">
        <v>0</v>
      </c>
      <c r="P156" s="913">
        <v>0</v>
      </c>
      <c r="Q156" s="913">
        <v>0</v>
      </c>
      <c r="R156" s="913">
        <v>0</v>
      </c>
      <c r="S156" s="913">
        <v>0</v>
      </c>
      <c r="T156" s="913">
        <v>0</v>
      </c>
      <c r="U156" s="913">
        <v>0</v>
      </c>
      <c r="V156" s="913">
        <v>0</v>
      </c>
      <c r="W156" s="913">
        <f t="shared" si="14"/>
        <v>0</v>
      </c>
    </row>
    <row r="157" spans="1:23" hidden="1" x14ac:dyDescent="0.2">
      <c r="A157" s="903" t="s">
        <v>10</v>
      </c>
      <c r="B157" s="908" t="s">
        <v>136</v>
      </c>
      <c r="C157" s="913">
        <v>0</v>
      </c>
      <c r="D157" s="913">
        <v>0</v>
      </c>
      <c r="E157" s="913">
        <v>0</v>
      </c>
      <c r="F157" s="913">
        <v>0</v>
      </c>
      <c r="G157" s="913">
        <v>0</v>
      </c>
      <c r="H157" s="913">
        <v>0</v>
      </c>
      <c r="I157" s="913">
        <v>0</v>
      </c>
      <c r="J157" s="913">
        <v>0</v>
      </c>
      <c r="K157" s="913">
        <v>0</v>
      </c>
      <c r="L157" s="913">
        <v>0</v>
      </c>
      <c r="M157" s="913">
        <v>0</v>
      </c>
      <c r="N157" s="913">
        <v>0</v>
      </c>
      <c r="O157" s="913">
        <v>0</v>
      </c>
      <c r="P157" s="913">
        <v>0</v>
      </c>
      <c r="Q157" s="913">
        <v>0</v>
      </c>
      <c r="R157" s="913">
        <v>0</v>
      </c>
      <c r="S157" s="913">
        <v>0</v>
      </c>
      <c r="T157" s="913">
        <v>0</v>
      </c>
      <c r="U157" s="913">
        <v>0</v>
      </c>
      <c r="V157" s="913">
        <v>0</v>
      </c>
      <c r="W157" s="913">
        <f t="shared" si="14"/>
        <v>0</v>
      </c>
    </row>
    <row r="158" spans="1:23" hidden="1" x14ac:dyDescent="0.2">
      <c r="A158" s="903"/>
      <c r="B158" s="908" t="s">
        <v>223</v>
      </c>
      <c r="C158" s="913">
        <v>0</v>
      </c>
      <c r="D158" s="913">
        <v>0</v>
      </c>
      <c r="E158" s="913">
        <v>0</v>
      </c>
      <c r="F158" s="913">
        <v>0</v>
      </c>
      <c r="G158" s="913">
        <v>0</v>
      </c>
      <c r="H158" s="913">
        <v>0</v>
      </c>
      <c r="I158" s="913">
        <v>0</v>
      </c>
      <c r="J158" s="913">
        <v>0</v>
      </c>
      <c r="K158" s="913">
        <v>0</v>
      </c>
      <c r="L158" s="913">
        <v>0</v>
      </c>
      <c r="M158" s="913">
        <v>0</v>
      </c>
      <c r="N158" s="913">
        <v>0</v>
      </c>
      <c r="O158" s="913">
        <v>0</v>
      </c>
      <c r="P158" s="913">
        <v>0</v>
      </c>
      <c r="Q158" s="913">
        <v>0</v>
      </c>
      <c r="R158" s="913">
        <v>0</v>
      </c>
      <c r="S158" s="913">
        <v>0</v>
      </c>
      <c r="T158" s="913">
        <v>0</v>
      </c>
      <c r="U158" s="913">
        <v>0</v>
      </c>
      <c r="V158" s="913">
        <v>0</v>
      </c>
      <c r="W158" s="913">
        <f t="shared" si="14"/>
        <v>0</v>
      </c>
    </row>
    <row r="159" spans="1:23" hidden="1" x14ac:dyDescent="0.2">
      <c r="A159" s="903"/>
      <c r="B159" s="908" t="s">
        <v>224</v>
      </c>
      <c r="C159" s="913">
        <v>0</v>
      </c>
      <c r="D159" s="913">
        <v>0</v>
      </c>
      <c r="E159" s="913">
        <v>0</v>
      </c>
      <c r="F159" s="913">
        <v>0</v>
      </c>
      <c r="G159" s="913">
        <v>0</v>
      </c>
      <c r="H159" s="913">
        <v>0</v>
      </c>
      <c r="I159" s="913">
        <v>0</v>
      </c>
      <c r="J159" s="913">
        <v>0</v>
      </c>
      <c r="K159" s="913">
        <v>0</v>
      </c>
      <c r="L159" s="913">
        <v>0</v>
      </c>
      <c r="M159" s="913">
        <v>0</v>
      </c>
      <c r="N159" s="913">
        <v>0</v>
      </c>
      <c r="O159" s="913">
        <v>0</v>
      </c>
      <c r="P159" s="913">
        <v>0</v>
      </c>
      <c r="Q159" s="913">
        <v>0</v>
      </c>
      <c r="R159" s="913">
        <v>0</v>
      </c>
      <c r="S159" s="913">
        <v>0</v>
      </c>
      <c r="T159" s="913">
        <v>0</v>
      </c>
      <c r="U159" s="913">
        <v>0</v>
      </c>
      <c r="V159" s="913">
        <v>0</v>
      </c>
      <c r="W159" s="913">
        <f t="shared" si="14"/>
        <v>0</v>
      </c>
    </row>
    <row r="160" spans="1:23" hidden="1" x14ac:dyDescent="0.2">
      <c r="A160" s="903"/>
      <c r="B160" s="908" t="s">
        <v>225</v>
      </c>
      <c r="C160" s="913">
        <v>0</v>
      </c>
      <c r="D160" s="913">
        <v>0</v>
      </c>
      <c r="E160" s="913">
        <v>0</v>
      </c>
      <c r="F160" s="913">
        <v>0</v>
      </c>
      <c r="G160" s="913">
        <v>0</v>
      </c>
      <c r="H160" s="913">
        <v>0</v>
      </c>
      <c r="I160" s="913">
        <v>0</v>
      </c>
      <c r="J160" s="913">
        <v>0</v>
      </c>
      <c r="K160" s="913">
        <v>0</v>
      </c>
      <c r="L160" s="913">
        <v>0</v>
      </c>
      <c r="M160" s="913">
        <v>0</v>
      </c>
      <c r="N160" s="913">
        <v>0</v>
      </c>
      <c r="O160" s="913">
        <v>0</v>
      </c>
      <c r="P160" s="913">
        <v>0</v>
      </c>
      <c r="Q160" s="913">
        <v>0</v>
      </c>
      <c r="R160" s="913">
        <v>0</v>
      </c>
      <c r="S160" s="913">
        <v>0</v>
      </c>
      <c r="T160" s="913">
        <v>0</v>
      </c>
      <c r="U160" s="913">
        <v>0</v>
      </c>
      <c r="V160" s="913">
        <v>0</v>
      </c>
      <c r="W160" s="913">
        <f t="shared" si="14"/>
        <v>0</v>
      </c>
    </row>
    <row r="161" spans="1:23" hidden="1" x14ac:dyDescent="0.2">
      <c r="A161" s="903"/>
      <c r="B161" s="908" t="s">
        <v>226</v>
      </c>
      <c r="C161" s="913">
        <v>0</v>
      </c>
      <c r="D161" s="913">
        <v>0</v>
      </c>
      <c r="E161" s="913">
        <v>0</v>
      </c>
      <c r="F161" s="913">
        <v>0</v>
      </c>
      <c r="G161" s="913">
        <v>0</v>
      </c>
      <c r="H161" s="913">
        <v>0</v>
      </c>
      <c r="I161" s="913">
        <v>0</v>
      </c>
      <c r="J161" s="913">
        <v>0</v>
      </c>
      <c r="K161" s="913">
        <v>0</v>
      </c>
      <c r="L161" s="913">
        <v>0</v>
      </c>
      <c r="M161" s="913">
        <v>0</v>
      </c>
      <c r="N161" s="913">
        <v>0</v>
      </c>
      <c r="O161" s="913">
        <v>0</v>
      </c>
      <c r="P161" s="913">
        <v>0</v>
      </c>
      <c r="Q161" s="913">
        <v>0</v>
      </c>
      <c r="R161" s="913">
        <v>0</v>
      </c>
      <c r="S161" s="913">
        <v>0</v>
      </c>
      <c r="T161" s="913">
        <v>0</v>
      </c>
      <c r="U161" s="913">
        <v>0</v>
      </c>
      <c r="V161" s="913">
        <v>0</v>
      </c>
      <c r="W161" s="913">
        <f t="shared" si="14"/>
        <v>0</v>
      </c>
    </row>
    <row r="162" spans="1:23" hidden="1" x14ac:dyDescent="0.2">
      <c r="A162" s="903"/>
      <c r="B162" s="908" t="s">
        <v>227</v>
      </c>
      <c r="C162" s="913">
        <v>0</v>
      </c>
      <c r="D162" s="913">
        <v>0</v>
      </c>
      <c r="E162" s="913">
        <v>0</v>
      </c>
      <c r="F162" s="913">
        <v>0</v>
      </c>
      <c r="G162" s="913">
        <v>0</v>
      </c>
      <c r="H162" s="913">
        <v>0</v>
      </c>
      <c r="I162" s="913">
        <v>0</v>
      </c>
      <c r="J162" s="913">
        <v>0</v>
      </c>
      <c r="K162" s="913">
        <v>0</v>
      </c>
      <c r="L162" s="913">
        <v>0</v>
      </c>
      <c r="M162" s="913">
        <v>0</v>
      </c>
      <c r="N162" s="913">
        <v>0</v>
      </c>
      <c r="O162" s="913">
        <v>0</v>
      </c>
      <c r="P162" s="913">
        <v>0</v>
      </c>
      <c r="Q162" s="913">
        <v>0</v>
      </c>
      <c r="R162" s="913">
        <v>0</v>
      </c>
      <c r="S162" s="913">
        <v>0</v>
      </c>
      <c r="T162" s="913">
        <v>0</v>
      </c>
      <c r="U162" s="913">
        <v>0</v>
      </c>
      <c r="V162" s="913">
        <v>0</v>
      </c>
      <c r="W162" s="913">
        <f t="shared" si="14"/>
        <v>0</v>
      </c>
    </row>
    <row r="163" spans="1:23" hidden="1" x14ac:dyDescent="0.2">
      <c r="A163" s="903"/>
      <c r="B163" s="908" t="s">
        <v>228</v>
      </c>
      <c r="C163" s="913">
        <v>0</v>
      </c>
      <c r="D163" s="913">
        <v>0</v>
      </c>
      <c r="E163" s="913">
        <v>0</v>
      </c>
      <c r="F163" s="913">
        <v>0</v>
      </c>
      <c r="G163" s="913">
        <v>0</v>
      </c>
      <c r="H163" s="913">
        <v>0</v>
      </c>
      <c r="I163" s="913">
        <v>0</v>
      </c>
      <c r="J163" s="913">
        <v>0</v>
      </c>
      <c r="K163" s="913">
        <v>0</v>
      </c>
      <c r="L163" s="913">
        <v>0</v>
      </c>
      <c r="M163" s="913">
        <v>0</v>
      </c>
      <c r="N163" s="913">
        <v>0</v>
      </c>
      <c r="O163" s="913">
        <v>0</v>
      </c>
      <c r="P163" s="913">
        <v>0</v>
      </c>
      <c r="Q163" s="913">
        <v>0</v>
      </c>
      <c r="R163" s="913">
        <v>0</v>
      </c>
      <c r="S163" s="913">
        <v>0</v>
      </c>
      <c r="T163" s="913">
        <v>0</v>
      </c>
      <c r="U163" s="913">
        <v>0</v>
      </c>
      <c r="V163" s="913">
        <v>0</v>
      </c>
      <c r="W163" s="913">
        <f t="shared" si="14"/>
        <v>0</v>
      </c>
    </row>
    <row r="164" spans="1:23" hidden="1" x14ac:dyDescent="0.2">
      <c r="A164" s="903"/>
      <c r="B164" s="908" t="s">
        <v>229</v>
      </c>
      <c r="C164" s="913">
        <v>0</v>
      </c>
      <c r="D164" s="913">
        <v>0</v>
      </c>
      <c r="E164" s="913">
        <v>0</v>
      </c>
      <c r="F164" s="913">
        <v>0</v>
      </c>
      <c r="G164" s="913">
        <v>0</v>
      </c>
      <c r="H164" s="913">
        <v>0</v>
      </c>
      <c r="I164" s="913">
        <v>0</v>
      </c>
      <c r="J164" s="913">
        <v>0</v>
      </c>
      <c r="K164" s="913">
        <v>0</v>
      </c>
      <c r="L164" s="913">
        <v>0</v>
      </c>
      <c r="M164" s="913">
        <v>0</v>
      </c>
      <c r="N164" s="913">
        <v>0</v>
      </c>
      <c r="O164" s="913">
        <v>0</v>
      </c>
      <c r="P164" s="913">
        <v>0</v>
      </c>
      <c r="Q164" s="913">
        <v>0</v>
      </c>
      <c r="R164" s="913">
        <v>0</v>
      </c>
      <c r="S164" s="913">
        <v>0</v>
      </c>
      <c r="T164" s="913">
        <v>0</v>
      </c>
      <c r="U164" s="913">
        <v>0</v>
      </c>
      <c r="V164" s="913">
        <v>0</v>
      </c>
      <c r="W164" s="913">
        <f t="shared" si="14"/>
        <v>0</v>
      </c>
    </row>
    <row r="165" spans="1:23" hidden="1" x14ac:dyDescent="0.2">
      <c r="A165" s="903"/>
      <c r="B165" s="908" t="s">
        <v>230</v>
      </c>
      <c r="C165" s="913">
        <v>0</v>
      </c>
      <c r="D165" s="913">
        <v>0</v>
      </c>
      <c r="E165" s="913">
        <v>0</v>
      </c>
      <c r="F165" s="913">
        <v>0</v>
      </c>
      <c r="G165" s="913">
        <v>0</v>
      </c>
      <c r="H165" s="913">
        <v>0</v>
      </c>
      <c r="I165" s="913">
        <v>0</v>
      </c>
      <c r="J165" s="913">
        <v>0</v>
      </c>
      <c r="K165" s="913">
        <v>0</v>
      </c>
      <c r="L165" s="913">
        <v>0</v>
      </c>
      <c r="M165" s="913">
        <v>0</v>
      </c>
      <c r="N165" s="913">
        <v>0</v>
      </c>
      <c r="O165" s="913">
        <v>0</v>
      </c>
      <c r="P165" s="913">
        <v>0</v>
      </c>
      <c r="Q165" s="913">
        <v>0</v>
      </c>
      <c r="R165" s="913">
        <v>0</v>
      </c>
      <c r="S165" s="913">
        <v>0</v>
      </c>
      <c r="T165" s="913">
        <v>0</v>
      </c>
      <c r="U165" s="913">
        <v>0</v>
      </c>
      <c r="V165" s="913">
        <v>0</v>
      </c>
      <c r="W165" s="913">
        <f t="shared" si="14"/>
        <v>0</v>
      </c>
    </row>
    <row r="166" spans="1:23" hidden="1" x14ac:dyDescent="0.2">
      <c r="A166" s="903"/>
      <c r="B166" s="908" t="s">
        <v>231</v>
      </c>
      <c r="C166" s="913">
        <v>0</v>
      </c>
      <c r="D166" s="913">
        <v>0</v>
      </c>
      <c r="E166" s="913">
        <v>0</v>
      </c>
      <c r="F166" s="913">
        <v>0</v>
      </c>
      <c r="G166" s="913">
        <v>0</v>
      </c>
      <c r="H166" s="913">
        <v>0</v>
      </c>
      <c r="I166" s="913">
        <v>0</v>
      </c>
      <c r="J166" s="913">
        <v>0</v>
      </c>
      <c r="K166" s="913">
        <v>0</v>
      </c>
      <c r="L166" s="913">
        <v>0</v>
      </c>
      <c r="M166" s="913">
        <v>0</v>
      </c>
      <c r="N166" s="913">
        <v>0</v>
      </c>
      <c r="O166" s="913">
        <v>0</v>
      </c>
      <c r="P166" s="913">
        <v>0</v>
      </c>
      <c r="Q166" s="913">
        <v>0</v>
      </c>
      <c r="R166" s="913">
        <v>0</v>
      </c>
      <c r="S166" s="913">
        <v>0</v>
      </c>
      <c r="T166" s="913">
        <v>0</v>
      </c>
      <c r="U166" s="913">
        <v>0</v>
      </c>
      <c r="V166" s="913">
        <v>0</v>
      </c>
      <c r="W166" s="913">
        <f t="shared" si="14"/>
        <v>0</v>
      </c>
    </row>
    <row r="167" spans="1:23" hidden="1" x14ac:dyDescent="0.2">
      <c r="A167" s="903"/>
      <c r="B167" s="908" t="s">
        <v>232</v>
      </c>
      <c r="C167" s="913">
        <v>0</v>
      </c>
      <c r="D167" s="913">
        <v>0</v>
      </c>
      <c r="E167" s="913">
        <v>0</v>
      </c>
      <c r="F167" s="913">
        <v>0</v>
      </c>
      <c r="G167" s="913">
        <v>0</v>
      </c>
      <c r="H167" s="913">
        <v>0</v>
      </c>
      <c r="I167" s="913">
        <v>0</v>
      </c>
      <c r="J167" s="913">
        <v>0</v>
      </c>
      <c r="K167" s="913">
        <v>0</v>
      </c>
      <c r="L167" s="913">
        <v>0</v>
      </c>
      <c r="M167" s="913">
        <v>0</v>
      </c>
      <c r="N167" s="913">
        <v>0</v>
      </c>
      <c r="O167" s="913">
        <v>0</v>
      </c>
      <c r="P167" s="913">
        <v>0</v>
      </c>
      <c r="Q167" s="913">
        <v>0</v>
      </c>
      <c r="R167" s="913">
        <v>0</v>
      </c>
      <c r="S167" s="913">
        <v>0</v>
      </c>
      <c r="T167" s="913">
        <v>0</v>
      </c>
      <c r="U167" s="913">
        <v>0</v>
      </c>
      <c r="V167" s="913">
        <v>0</v>
      </c>
      <c r="W167" s="913">
        <f t="shared" si="14"/>
        <v>0</v>
      </c>
    </row>
    <row r="168" spans="1:23" hidden="1" x14ac:dyDescent="0.2">
      <c r="A168" s="903"/>
      <c r="B168" s="908" t="s">
        <v>233</v>
      </c>
      <c r="C168" s="913">
        <v>0</v>
      </c>
      <c r="D168" s="913">
        <v>0</v>
      </c>
      <c r="E168" s="913">
        <v>0</v>
      </c>
      <c r="F168" s="913">
        <v>0</v>
      </c>
      <c r="G168" s="913">
        <v>0</v>
      </c>
      <c r="H168" s="913">
        <v>0</v>
      </c>
      <c r="I168" s="913">
        <v>0</v>
      </c>
      <c r="J168" s="913">
        <v>0</v>
      </c>
      <c r="K168" s="913">
        <v>0</v>
      </c>
      <c r="L168" s="913">
        <v>0</v>
      </c>
      <c r="M168" s="913">
        <v>0</v>
      </c>
      <c r="N168" s="913">
        <v>0</v>
      </c>
      <c r="O168" s="913">
        <v>0</v>
      </c>
      <c r="P168" s="913">
        <v>0</v>
      </c>
      <c r="Q168" s="913">
        <v>0</v>
      </c>
      <c r="R168" s="913">
        <v>0</v>
      </c>
      <c r="S168" s="913">
        <v>0</v>
      </c>
      <c r="T168" s="913">
        <v>0</v>
      </c>
      <c r="U168" s="913">
        <v>0</v>
      </c>
      <c r="V168" s="913">
        <v>0</v>
      </c>
      <c r="W168" s="913">
        <f t="shared" si="14"/>
        <v>0</v>
      </c>
    </row>
    <row r="169" spans="1:23" hidden="1" x14ac:dyDescent="0.2">
      <c r="A169" s="903"/>
      <c r="B169" s="908" t="s">
        <v>234</v>
      </c>
      <c r="C169" s="913">
        <v>0</v>
      </c>
      <c r="D169" s="913">
        <v>0</v>
      </c>
      <c r="E169" s="913">
        <v>0</v>
      </c>
      <c r="F169" s="913">
        <v>0</v>
      </c>
      <c r="G169" s="913">
        <v>0</v>
      </c>
      <c r="H169" s="913">
        <v>0</v>
      </c>
      <c r="I169" s="913">
        <v>0</v>
      </c>
      <c r="J169" s="913">
        <v>0</v>
      </c>
      <c r="K169" s="913">
        <v>0</v>
      </c>
      <c r="L169" s="913">
        <v>0</v>
      </c>
      <c r="M169" s="913">
        <v>0</v>
      </c>
      <c r="N169" s="913">
        <v>0</v>
      </c>
      <c r="O169" s="913">
        <v>0</v>
      </c>
      <c r="P169" s="913">
        <v>0</v>
      </c>
      <c r="Q169" s="913">
        <v>0</v>
      </c>
      <c r="R169" s="913">
        <v>0</v>
      </c>
      <c r="S169" s="913">
        <v>0</v>
      </c>
      <c r="T169" s="913">
        <v>0</v>
      </c>
      <c r="U169" s="913">
        <v>0</v>
      </c>
      <c r="V169" s="913">
        <v>0</v>
      </c>
      <c r="W169" s="913">
        <f t="shared" si="14"/>
        <v>0</v>
      </c>
    </row>
    <row r="170" spans="1:23" x14ac:dyDescent="0.2">
      <c r="A170" s="903"/>
      <c r="B170" s="908" t="s">
        <v>9</v>
      </c>
      <c r="C170" s="913">
        <v>0</v>
      </c>
      <c r="D170" s="913">
        <v>0</v>
      </c>
      <c r="E170" s="913">
        <v>0</v>
      </c>
      <c r="F170" s="913">
        <v>0</v>
      </c>
      <c r="G170" s="913">
        <v>0</v>
      </c>
      <c r="H170" s="913">
        <v>0</v>
      </c>
      <c r="I170" s="913">
        <v>0</v>
      </c>
      <c r="J170" s="913">
        <v>0</v>
      </c>
      <c r="K170" s="913">
        <v>0</v>
      </c>
      <c r="L170" s="913">
        <v>0</v>
      </c>
      <c r="M170" s="913">
        <v>0</v>
      </c>
      <c r="N170" s="913">
        <v>0</v>
      </c>
      <c r="O170" s="913">
        <v>0</v>
      </c>
      <c r="P170" s="913">
        <v>0</v>
      </c>
      <c r="Q170" s="913">
        <v>0</v>
      </c>
      <c r="R170" s="913">
        <v>0</v>
      </c>
      <c r="S170" s="913">
        <v>0</v>
      </c>
      <c r="T170" s="913">
        <v>0</v>
      </c>
      <c r="U170" s="913">
        <v>0</v>
      </c>
      <c r="V170" s="913">
        <v>-7600000</v>
      </c>
      <c r="W170" s="913">
        <f t="shared" si="14"/>
        <v>-7600000</v>
      </c>
    </row>
    <row r="171" spans="1:23" hidden="1" x14ac:dyDescent="0.2">
      <c r="A171" s="903"/>
      <c r="B171" s="908" t="s">
        <v>235</v>
      </c>
      <c r="C171" s="913">
        <v>0</v>
      </c>
      <c r="D171" s="913">
        <v>0</v>
      </c>
      <c r="E171" s="913">
        <v>0</v>
      </c>
      <c r="F171" s="913">
        <v>0</v>
      </c>
      <c r="G171" s="913">
        <v>0</v>
      </c>
      <c r="H171" s="913">
        <v>0</v>
      </c>
      <c r="I171" s="913">
        <v>0</v>
      </c>
      <c r="J171" s="913">
        <v>0</v>
      </c>
      <c r="K171" s="913">
        <v>0</v>
      </c>
      <c r="L171" s="913">
        <v>0</v>
      </c>
      <c r="M171" s="913">
        <v>0</v>
      </c>
      <c r="N171" s="913">
        <v>0</v>
      </c>
      <c r="O171" s="913">
        <v>0</v>
      </c>
      <c r="P171" s="913">
        <v>0</v>
      </c>
      <c r="Q171" s="913">
        <v>0</v>
      </c>
      <c r="R171" s="913">
        <v>0</v>
      </c>
      <c r="S171" s="913">
        <v>0</v>
      </c>
      <c r="T171" s="913">
        <v>0</v>
      </c>
      <c r="U171" s="913">
        <v>0</v>
      </c>
      <c r="V171" s="913">
        <v>0</v>
      </c>
      <c r="W171" s="913">
        <f t="shared" si="14"/>
        <v>0</v>
      </c>
    </row>
    <row r="172" spans="1:23" hidden="1" x14ac:dyDescent="0.2">
      <c r="A172" s="903"/>
      <c r="B172" s="908" t="s">
        <v>236</v>
      </c>
      <c r="C172" s="913">
        <v>0</v>
      </c>
      <c r="D172" s="913">
        <v>0</v>
      </c>
      <c r="E172" s="913">
        <v>0</v>
      </c>
      <c r="F172" s="913">
        <v>0</v>
      </c>
      <c r="G172" s="913">
        <v>0</v>
      </c>
      <c r="H172" s="913">
        <v>0</v>
      </c>
      <c r="I172" s="913">
        <v>0</v>
      </c>
      <c r="J172" s="913">
        <v>0</v>
      </c>
      <c r="K172" s="913">
        <v>0</v>
      </c>
      <c r="L172" s="913">
        <v>0</v>
      </c>
      <c r="M172" s="913">
        <v>0</v>
      </c>
      <c r="N172" s="913">
        <v>0</v>
      </c>
      <c r="O172" s="913">
        <v>0</v>
      </c>
      <c r="P172" s="913">
        <v>0</v>
      </c>
      <c r="Q172" s="913">
        <v>0</v>
      </c>
      <c r="R172" s="913">
        <v>0</v>
      </c>
      <c r="S172" s="913">
        <v>0</v>
      </c>
      <c r="T172" s="913">
        <v>0</v>
      </c>
      <c r="U172" s="913">
        <v>0</v>
      </c>
      <c r="V172" s="913">
        <v>0</v>
      </c>
      <c r="W172" s="913">
        <f t="shared" ref="W172:W196" si="15">SUM(C172:V172)</f>
        <v>0</v>
      </c>
    </row>
    <row r="173" spans="1:23" hidden="1" x14ac:dyDescent="0.2">
      <c r="A173" s="903"/>
      <c r="B173" s="908" t="s">
        <v>237</v>
      </c>
      <c r="C173" s="913">
        <v>0</v>
      </c>
      <c r="D173" s="913">
        <v>0</v>
      </c>
      <c r="E173" s="913">
        <v>0</v>
      </c>
      <c r="F173" s="913">
        <v>0</v>
      </c>
      <c r="G173" s="913">
        <v>0</v>
      </c>
      <c r="H173" s="913">
        <v>0</v>
      </c>
      <c r="I173" s="913">
        <v>0</v>
      </c>
      <c r="J173" s="913">
        <v>0</v>
      </c>
      <c r="K173" s="913">
        <v>0</v>
      </c>
      <c r="L173" s="913">
        <v>0</v>
      </c>
      <c r="M173" s="913">
        <v>0</v>
      </c>
      <c r="N173" s="913">
        <v>0</v>
      </c>
      <c r="O173" s="913">
        <v>0</v>
      </c>
      <c r="P173" s="913">
        <v>0</v>
      </c>
      <c r="Q173" s="913">
        <v>0</v>
      </c>
      <c r="R173" s="913">
        <v>0</v>
      </c>
      <c r="S173" s="913">
        <v>0</v>
      </c>
      <c r="T173" s="913">
        <v>0</v>
      </c>
      <c r="U173" s="913">
        <v>0</v>
      </c>
      <c r="V173" s="913">
        <v>0</v>
      </c>
      <c r="W173" s="913">
        <f t="shared" si="15"/>
        <v>0</v>
      </c>
    </row>
    <row r="174" spans="1:23" hidden="1" x14ac:dyDescent="0.2">
      <c r="A174" s="903"/>
      <c r="B174" s="908" t="s">
        <v>238</v>
      </c>
      <c r="C174" s="913">
        <v>0</v>
      </c>
      <c r="D174" s="913">
        <v>0</v>
      </c>
      <c r="E174" s="913">
        <v>0</v>
      </c>
      <c r="F174" s="913">
        <v>0</v>
      </c>
      <c r="G174" s="913">
        <v>0</v>
      </c>
      <c r="H174" s="913">
        <v>0</v>
      </c>
      <c r="I174" s="913">
        <v>0</v>
      </c>
      <c r="J174" s="913">
        <v>0</v>
      </c>
      <c r="K174" s="913">
        <v>0</v>
      </c>
      <c r="L174" s="913">
        <v>0</v>
      </c>
      <c r="M174" s="913">
        <v>0</v>
      </c>
      <c r="N174" s="913">
        <v>0</v>
      </c>
      <c r="O174" s="913">
        <v>0</v>
      </c>
      <c r="P174" s="913">
        <v>0</v>
      </c>
      <c r="Q174" s="913">
        <v>0</v>
      </c>
      <c r="R174" s="913">
        <v>0</v>
      </c>
      <c r="S174" s="913">
        <v>0</v>
      </c>
      <c r="T174" s="913">
        <v>0</v>
      </c>
      <c r="U174" s="913">
        <v>0</v>
      </c>
      <c r="V174" s="913">
        <v>0</v>
      </c>
      <c r="W174" s="913">
        <f t="shared" si="15"/>
        <v>0</v>
      </c>
    </row>
    <row r="175" spans="1:23" hidden="1" x14ac:dyDescent="0.2">
      <c r="A175" s="903"/>
      <c r="B175" s="908" t="s">
        <v>239</v>
      </c>
      <c r="C175" s="913">
        <v>0</v>
      </c>
      <c r="D175" s="913">
        <v>0</v>
      </c>
      <c r="E175" s="913">
        <v>0</v>
      </c>
      <c r="F175" s="913">
        <v>0</v>
      </c>
      <c r="G175" s="913">
        <v>0</v>
      </c>
      <c r="H175" s="913">
        <v>0</v>
      </c>
      <c r="I175" s="913">
        <v>0</v>
      </c>
      <c r="J175" s="913">
        <v>0</v>
      </c>
      <c r="K175" s="913">
        <v>0</v>
      </c>
      <c r="L175" s="913">
        <v>0</v>
      </c>
      <c r="M175" s="913">
        <v>0</v>
      </c>
      <c r="N175" s="913">
        <v>0</v>
      </c>
      <c r="O175" s="913">
        <v>0</v>
      </c>
      <c r="P175" s="913">
        <v>0</v>
      </c>
      <c r="Q175" s="913">
        <v>0</v>
      </c>
      <c r="R175" s="913">
        <v>0</v>
      </c>
      <c r="S175" s="913">
        <v>0</v>
      </c>
      <c r="T175" s="913">
        <v>0</v>
      </c>
      <c r="U175" s="913">
        <v>0</v>
      </c>
      <c r="V175" s="913">
        <v>0</v>
      </c>
      <c r="W175" s="913">
        <f t="shared" si="15"/>
        <v>0</v>
      </c>
    </row>
    <row r="176" spans="1:23" hidden="1" x14ac:dyDescent="0.2">
      <c r="A176" s="903"/>
      <c r="B176" s="908" t="s">
        <v>240</v>
      </c>
      <c r="C176" s="913">
        <v>0</v>
      </c>
      <c r="D176" s="913">
        <v>0</v>
      </c>
      <c r="E176" s="913">
        <v>0</v>
      </c>
      <c r="F176" s="913">
        <v>0</v>
      </c>
      <c r="G176" s="913">
        <v>0</v>
      </c>
      <c r="H176" s="913">
        <v>0</v>
      </c>
      <c r="I176" s="913">
        <v>0</v>
      </c>
      <c r="J176" s="913">
        <v>0</v>
      </c>
      <c r="K176" s="913">
        <v>0</v>
      </c>
      <c r="L176" s="913">
        <v>0</v>
      </c>
      <c r="M176" s="913">
        <v>0</v>
      </c>
      <c r="N176" s="913">
        <v>0</v>
      </c>
      <c r="O176" s="913">
        <v>0</v>
      </c>
      <c r="P176" s="913">
        <v>0</v>
      </c>
      <c r="Q176" s="913">
        <v>0</v>
      </c>
      <c r="R176" s="913">
        <v>0</v>
      </c>
      <c r="S176" s="913">
        <v>0</v>
      </c>
      <c r="T176" s="913">
        <v>0</v>
      </c>
      <c r="U176" s="913">
        <v>0</v>
      </c>
      <c r="V176" s="913">
        <v>0</v>
      </c>
      <c r="W176" s="913">
        <f t="shared" si="15"/>
        <v>0</v>
      </c>
    </row>
    <row r="177" spans="1:23" hidden="1" x14ac:dyDescent="0.2">
      <c r="A177" s="903"/>
      <c r="B177" s="908" t="s">
        <v>241</v>
      </c>
      <c r="C177" s="913">
        <v>0</v>
      </c>
      <c r="D177" s="913">
        <v>0</v>
      </c>
      <c r="E177" s="913">
        <v>0</v>
      </c>
      <c r="F177" s="913">
        <v>0</v>
      </c>
      <c r="G177" s="913">
        <v>0</v>
      </c>
      <c r="H177" s="913">
        <v>0</v>
      </c>
      <c r="I177" s="913">
        <v>0</v>
      </c>
      <c r="J177" s="913">
        <v>0</v>
      </c>
      <c r="K177" s="913">
        <v>0</v>
      </c>
      <c r="L177" s="913">
        <v>0</v>
      </c>
      <c r="M177" s="913">
        <v>0</v>
      </c>
      <c r="N177" s="913">
        <v>0</v>
      </c>
      <c r="O177" s="913">
        <v>0</v>
      </c>
      <c r="P177" s="913">
        <v>0</v>
      </c>
      <c r="Q177" s="913">
        <v>0</v>
      </c>
      <c r="R177" s="913">
        <v>0</v>
      </c>
      <c r="S177" s="913">
        <v>0</v>
      </c>
      <c r="T177" s="913">
        <v>0</v>
      </c>
      <c r="U177" s="913">
        <v>0</v>
      </c>
      <c r="V177" s="913">
        <v>0</v>
      </c>
      <c r="W177" s="913">
        <f t="shared" si="15"/>
        <v>0</v>
      </c>
    </row>
    <row r="178" spans="1:23" hidden="1" x14ac:dyDescent="0.2">
      <c r="A178" s="903"/>
      <c r="B178" s="908" t="s">
        <v>242</v>
      </c>
      <c r="C178" s="913">
        <v>0</v>
      </c>
      <c r="D178" s="913">
        <v>0</v>
      </c>
      <c r="E178" s="913">
        <v>0</v>
      </c>
      <c r="F178" s="913">
        <v>0</v>
      </c>
      <c r="G178" s="913">
        <v>0</v>
      </c>
      <c r="H178" s="913">
        <v>0</v>
      </c>
      <c r="I178" s="913">
        <v>0</v>
      </c>
      <c r="J178" s="913">
        <v>0</v>
      </c>
      <c r="K178" s="913">
        <v>0</v>
      </c>
      <c r="L178" s="913">
        <v>0</v>
      </c>
      <c r="M178" s="913">
        <v>0</v>
      </c>
      <c r="N178" s="913">
        <v>0</v>
      </c>
      <c r="O178" s="913">
        <v>0</v>
      </c>
      <c r="P178" s="913">
        <v>0</v>
      </c>
      <c r="Q178" s="913">
        <v>0</v>
      </c>
      <c r="R178" s="913">
        <v>0</v>
      </c>
      <c r="S178" s="913">
        <v>0</v>
      </c>
      <c r="T178" s="913">
        <v>0</v>
      </c>
      <c r="U178" s="913">
        <v>0</v>
      </c>
      <c r="V178" s="913">
        <v>0</v>
      </c>
      <c r="W178" s="913">
        <f t="shared" si="15"/>
        <v>0</v>
      </c>
    </row>
    <row r="179" spans="1:23" hidden="1" x14ac:dyDescent="0.2">
      <c r="A179" s="903"/>
      <c r="B179" s="908" t="s">
        <v>243</v>
      </c>
      <c r="C179" s="913">
        <v>0</v>
      </c>
      <c r="D179" s="913">
        <v>0</v>
      </c>
      <c r="E179" s="913">
        <v>0</v>
      </c>
      <c r="F179" s="913">
        <v>0</v>
      </c>
      <c r="G179" s="913">
        <v>0</v>
      </c>
      <c r="H179" s="913">
        <v>0</v>
      </c>
      <c r="I179" s="913">
        <v>0</v>
      </c>
      <c r="J179" s="913">
        <v>0</v>
      </c>
      <c r="K179" s="913">
        <v>0</v>
      </c>
      <c r="L179" s="913">
        <v>0</v>
      </c>
      <c r="M179" s="913">
        <v>0</v>
      </c>
      <c r="N179" s="913">
        <v>0</v>
      </c>
      <c r="O179" s="913">
        <v>0</v>
      </c>
      <c r="P179" s="913">
        <v>0</v>
      </c>
      <c r="Q179" s="913">
        <v>0</v>
      </c>
      <c r="R179" s="913">
        <v>0</v>
      </c>
      <c r="S179" s="913">
        <v>0</v>
      </c>
      <c r="T179" s="913">
        <v>0</v>
      </c>
      <c r="U179" s="913">
        <v>0</v>
      </c>
      <c r="V179" s="913">
        <v>0</v>
      </c>
      <c r="W179" s="913">
        <f t="shared" si="15"/>
        <v>0</v>
      </c>
    </row>
    <row r="180" spans="1:23" hidden="1" x14ac:dyDescent="0.2">
      <c r="A180" s="903"/>
      <c r="B180" s="908" t="s">
        <v>244</v>
      </c>
      <c r="C180" s="913">
        <v>0</v>
      </c>
      <c r="D180" s="913">
        <v>0</v>
      </c>
      <c r="E180" s="913">
        <v>0</v>
      </c>
      <c r="F180" s="913">
        <v>0</v>
      </c>
      <c r="G180" s="913">
        <v>0</v>
      </c>
      <c r="H180" s="913">
        <v>0</v>
      </c>
      <c r="I180" s="913">
        <v>0</v>
      </c>
      <c r="J180" s="913">
        <v>0</v>
      </c>
      <c r="K180" s="913">
        <v>0</v>
      </c>
      <c r="L180" s="913">
        <v>0</v>
      </c>
      <c r="M180" s="913">
        <v>0</v>
      </c>
      <c r="N180" s="913">
        <v>0</v>
      </c>
      <c r="O180" s="913">
        <v>0</v>
      </c>
      <c r="P180" s="913">
        <v>0</v>
      </c>
      <c r="Q180" s="913">
        <v>0</v>
      </c>
      <c r="R180" s="913">
        <v>0</v>
      </c>
      <c r="S180" s="913">
        <v>0</v>
      </c>
      <c r="T180" s="913">
        <v>0</v>
      </c>
      <c r="U180" s="913">
        <v>0</v>
      </c>
      <c r="V180" s="913">
        <v>0</v>
      </c>
      <c r="W180" s="913">
        <f t="shared" si="15"/>
        <v>0</v>
      </c>
    </row>
    <row r="181" spans="1:23" hidden="1" x14ac:dyDescent="0.2">
      <c r="A181" s="903"/>
      <c r="B181" s="903" t="s">
        <v>245</v>
      </c>
      <c r="C181" s="913"/>
      <c r="D181" s="913"/>
      <c r="E181" s="913"/>
      <c r="F181" s="913"/>
      <c r="G181" s="913"/>
      <c r="H181" s="913"/>
      <c r="I181" s="913"/>
      <c r="J181" s="913"/>
      <c r="K181" s="913"/>
      <c r="L181" s="913"/>
      <c r="M181" s="913"/>
      <c r="N181" s="913"/>
      <c r="O181" s="913"/>
      <c r="P181" s="913"/>
      <c r="Q181" s="913"/>
      <c r="R181" s="913"/>
      <c r="S181" s="913"/>
      <c r="T181" s="913"/>
      <c r="U181" s="913"/>
      <c r="V181" s="913"/>
      <c r="W181" s="913">
        <f t="shared" si="15"/>
        <v>0</v>
      </c>
    </row>
    <row r="182" spans="1:23" hidden="1" x14ac:dyDescent="0.2">
      <c r="A182" s="903"/>
      <c r="B182" s="908" t="s">
        <v>246</v>
      </c>
      <c r="C182" s="913">
        <v>0</v>
      </c>
      <c r="D182" s="913">
        <v>0</v>
      </c>
      <c r="E182" s="913">
        <v>0</v>
      </c>
      <c r="F182" s="913">
        <v>0</v>
      </c>
      <c r="G182" s="913">
        <v>0</v>
      </c>
      <c r="H182" s="913">
        <v>0</v>
      </c>
      <c r="I182" s="913">
        <v>0</v>
      </c>
      <c r="J182" s="913">
        <v>0</v>
      </c>
      <c r="K182" s="913">
        <v>0</v>
      </c>
      <c r="L182" s="913">
        <v>0</v>
      </c>
      <c r="M182" s="913">
        <v>0</v>
      </c>
      <c r="N182" s="913">
        <v>0</v>
      </c>
      <c r="O182" s="913">
        <v>0</v>
      </c>
      <c r="P182" s="913">
        <v>0</v>
      </c>
      <c r="Q182" s="913">
        <v>0</v>
      </c>
      <c r="R182" s="913">
        <v>0</v>
      </c>
      <c r="S182" s="913">
        <v>0</v>
      </c>
      <c r="T182" s="913">
        <v>0</v>
      </c>
      <c r="U182" s="913">
        <v>0</v>
      </c>
      <c r="V182" s="913">
        <v>0</v>
      </c>
      <c r="W182" s="913">
        <f t="shared" si="15"/>
        <v>0</v>
      </c>
    </row>
    <row r="183" spans="1:23" hidden="1" x14ac:dyDescent="0.2">
      <c r="A183" s="903"/>
      <c r="B183" s="908" t="s">
        <v>247</v>
      </c>
      <c r="C183" s="913">
        <v>0</v>
      </c>
      <c r="D183" s="913">
        <v>0</v>
      </c>
      <c r="E183" s="913">
        <v>0</v>
      </c>
      <c r="F183" s="913">
        <v>0</v>
      </c>
      <c r="G183" s="913">
        <v>0</v>
      </c>
      <c r="H183" s="913">
        <v>0</v>
      </c>
      <c r="I183" s="913">
        <v>0</v>
      </c>
      <c r="J183" s="913">
        <v>0</v>
      </c>
      <c r="K183" s="913">
        <v>0</v>
      </c>
      <c r="L183" s="913">
        <v>0</v>
      </c>
      <c r="M183" s="913">
        <v>0</v>
      </c>
      <c r="N183" s="913">
        <v>0</v>
      </c>
      <c r="O183" s="913">
        <v>0</v>
      </c>
      <c r="P183" s="913">
        <v>0</v>
      </c>
      <c r="Q183" s="913">
        <v>0</v>
      </c>
      <c r="R183" s="913">
        <v>0</v>
      </c>
      <c r="S183" s="913">
        <v>0</v>
      </c>
      <c r="T183" s="913">
        <v>0</v>
      </c>
      <c r="U183" s="913">
        <v>0</v>
      </c>
      <c r="V183" s="913">
        <v>0</v>
      </c>
      <c r="W183" s="913">
        <f t="shared" si="15"/>
        <v>0</v>
      </c>
    </row>
    <row r="184" spans="1:23" hidden="1" x14ac:dyDescent="0.2">
      <c r="A184" s="903"/>
      <c r="B184" s="908" t="s">
        <v>248</v>
      </c>
      <c r="C184" s="913">
        <v>0</v>
      </c>
      <c r="D184" s="913">
        <v>0</v>
      </c>
      <c r="E184" s="913">
        <v>0</v>
      </c>
      <c r="F184" s="913">
        <v>0</v>
      </c>
      <c r="G184" s="913">
        <v>0</v>
      </c>
      <c r="H184" s="913">
        <v>0</v>
      </c>
      <c r="I184" s="913">
        <v>0</v>
      </c>
      <c r="J184" s="913">
        <v>0</v>
      </c>
      <c r="K184" s="913">
        <v>0</v>
      </c>
      <c r="L184" s="913">
        <v>0</v>
      </c>
      <c r="M184" s="913">
        <v>0</v>
      </c>
      <c r="N184" s="913">
        <v>0</v>
      </c>
      <c r="O184" s="913">
        <v>0</v>
      </c>
      <c r="P184" s="913">
        <v>0</v>
      </c>
      <c r="Q184" s="913">
        <v>0</v>
      </c>
      <c r="R184" s="913">
        <v>0</v>
      </c>
      <c r="S184" s="913">
        <v>0</v>
      </c>
      <c r="T184" s="913">
        <v>0</v>
      </c>
      <c r="U184" s="913">
        <v>0</v>
      </c>
      <c r="V184" s="913">
        <v>0</v>
      </c>
      <c r="W184" s="913">
        <f t="shared" si="15"/>
        <v>0</v>
      </c>
    </row>
    <row r="185" spans="1:23" hidden="1" x14ac:dyDescent="0.2">
      <c r="A185" s="903"/>
      <c r="B185" s="908" t="s">
        <v>249</v>
      </c>
      <c r="C185" s="913">
        <v>0</v>
      </c>
      <c r="D185" s="913">
        <v>0</v>
      </c>
      <c r="E185" s="913">
        <v>0</v>
      </c>
      <c r="F185" s="913">
        <v>0</v>
      </c>
      <c r="G185" s="913">
        <v>0</v>
      </c>
      <c r="H185" s="913">
        <v>0</v>
      </c>
      <c r="I185" s="913">
        <v>0</v>
      </c>
      <c r="J185" s="913">
        <v>0</v>
      </c>
      <c r="K185" s="913">
        <v>0</v>
      </c>
      <c r="L185" s="913">
        <v>0</v>
      </c>
      <c r="M185" s="913">
        <v>0</v>
      </c>
      <c r="N185" s="913">
        <v>0</v>
      </c>
      <c r="O185" s="913">
        <v>0</v>
      </c>
      <c r="P185" s="913">
        <v>0</v>
      </c>
      <c r="Q185" s="913">
        <v>0</v>
      </c>
      <c r="R185" s="913">
        <v>0</v>
      </c>
      <c r="S185" s="913">
        <v>0</v>
      </c>
      <c r="T185" s="913">
        <v>0</v>
      </c>
      <c r="U185" s="913">
        <v>0</v>
      </c>
      <c r="V185" s="913">
        <v>0</v>
      </c>
      <c r="W185" s="913">
        <f t="shared" si="15"/>
        <v>0</v>
      </c>
    </row>
    <row r="186" spans="1:23" x14ac:dyDescent="0.2">
      <c r="A186" s="903"/>
      <c r="B186" s="908" t="s">
        <v>250</v>
      </c>
      <c r="C186" s="913">
        <v>0</v>
      </c>
      <c r="D186" s="913">
        <v>0</v>
      </c>
      <c r="E186" s="913">
        <v>0</v>
      </c>
      <c r="F186" s="913">
        <v>0</v>
      </c>
      <c r="G186" s="913">
        <v>0</v>
      </c>
      <c r="H186" s="913">
        <v>0</v>
      </c>
      <c r="I186" s="913">
        <v>0</v>
      </c>
      <c r="J186" s="913">
        <v>0</v>
      </c>
      <c r="K186" s="913">
        <v>0</v>
      </c>
      <c r="L186" s="913">
        <v>0</v>
      </c>
      <c r="M186" s="913">
        <v>0</v>
      </c>
      <c r="N186" s="913">
        <v>0</v>
      </c>
      <c r="O186" s="913">
        <v>0</v>
      </c>
      <c r="P186" s="913">
        <v>0</v>
      </c>
      <c r="Q186" s="913">
        <v>0</v>
      </c>
      <c r="R186" s="913">
        <v>0</v>
      </c>
      <c r="S186" s="913">
        <v>1323694</v>
      </c>
      <c r="T186" s="913">
        <v>0</v>
      </c>
      <c r="U186" s="913">
        <v>0</v>
      </c>
      <c r="V186" s="913">
        <v>0</v>
      </c>
      <c r="W186" s="913">
        <f t="shared" si="15"/>
        <v>1323694</v>
      </c>
    </row>
    <row r="187" spans="1:23" hidden="1" x14ac:dyDescent="0.2">
      <c r="A187" s="903"/>
      <c r="B187" s="908" t="s">
        <v>251</v>
      </c>
      <c r="C187" s="913">
        <v>0</v>
      </c>
      <c r="D187" s="913">
        <v>0</v>
      </c>
      <c r="E187" s="913">
        <v>0</v>
      </c>
      <c r="F187" s="913">
        <v>0</v>
      </c>
      <c r="G187" s="913">
        <v>0</v>
      </c>
      <c r="H187" s="913">
        <v>0</v>
      </c>
      <c r="I187" s="913">
        <v>0</v>
      </c>
      <c r="J187" s="913">
        <v>0</v>
      </c>
      <c r="K187" s="913">
        <v>0</v>
      </c>
      <c r="L187" s="913">
        <v>0</v>
      </c>
      <c r="M187" s="913">
        <v>0</v>
      </c>
      <c r="N187" s="913">
        <v>0</v>
      </c>
      <c r="O187" s="913">
        <v>0</v>
      </c>
      <c r="P187" s="913">
        <v>0</v>
      </c>
      <c r="Q187" s="913">
        <v>0</v>
      </c>
      <c r="R187" s="913">
        <v>0</v>
      </c>
      <c r="S187" s="913">
        <v>0</v>
      </c>
      <c r="T187" s="913">
        <v>0</v>
      </c>
      <c r="U187" s="913">
        <v>0</v>
      </c>
      <c r="V187" s="913">
        <v>0</v>
      </c>
      <c r="W187" s="913">
        <f t="shared" si="15"/>
        <v>0</v>
      </c>
    </row>
    <row r="188" spans="1:23" hidden="1" x14ac:dyDescent="0.2">
      <c r="A188" s="903"/>
      <c r="B188" s="908" t="s">
        <v>252</v>
      </c>
      <c r="C188" s="913">
        <v>0</v>
      </c>
      <c r="D188" s="913">
        <v>0</v>
      </c>
      <c r="E188" s="913">
        <v>0</v>
      </c>
      <c r="F188" s="913">
        <v>0</v>
      </c>
      <c r="G188" s="913">
        <v>0</v>
      </c>
      <c r="H188" s="913">
        <v>0</v>
      </c>
      <c r="I188" s="913">
        <v>0</v>
      </c>
      <c r="J188" s="913">
        <v>0</v>
      </c>
      <c r="K188" s="913">
        <v>0</v>
      </c>
      <c r="L188" s="913">
        <v>0</v>
      </c>
      <c r="M188" s="913">
        <v>0</v>
      </c>
      <c r="N188" s="913">
        <v>0</v>
      </c>
      <c r="O188" s="913">
        <v>0</v>
      </c>
      <c r="P188" s="913">
        <v>0</v>
      </c>
      <c r="Q188" s="913">
        <v>0</v>
      </c>
      <c r="R188" s="913">
        <v>0</v>
      </c>
      <c r="S188" s="913">
        <v>0</v>
      </c>
      <c r="T188" s="913">
        <v>0</v>
      </c>
      <c r="U188" s="913">
        <v>0</v>
      </c>
      <c r="V188" s="913">
        <v>0</v>
      </c>
      <c r="W188" s="913">
        <f t="shared" si="15"/>
        <v>0</v>
      </c>
    </row>
    <row r="189" spans="1:23" hidden="1" x14ac:dyDescent="0.2">
      <c r="A189" s="903"/>
      <c r="B189" s="908" t="s">
        <v>253</v>
      </c>
      <c r="C189" s="913">
        <v>0</v>
      </c>
      <c r="D189" s="913">
        <v>0</v>
      </c>
      <c r="E189" s="913">
        <v>0</v>
      </c>
      <c r="F189" s="913">
        <v>0</v>
      </c>
      <c r="G189" s="913">
        <v>0</v>
      </c>
      <c r="H189" s="913">
        <v>0</v>
      </c>
      <c r="I189" s="913">
        <v>0</v>
      </c>
      <c r="J189" s="913">
        <v>0</v>
      </c>
      <c r="K189" s="913">
        <v>0</v>
      </c>
      <c r="L189" s="913">
        <v>0</v>
      </c>
      <c r="M189" s="913">
        <v>0</v>
      </c>
      <c r="N189" s="913">
        <v>0</v>
      </c>
      <c r="O189" s="913">
        <v>0</v>
      </c>
      <c r="P189" s="913">
        <v>0</v>
      </c>
      <c r="Q189" s="913">
        <v>0</v>
      </c>
      <c r="R189" s="913">
        <v>0</v>
      </c>
      <c r="S189" s="913">
        <v>0</v>
      </c>
      <c r="T189" s="913">
        <v>0</v>
      </c>
      <c r="U189" s="913">
        <v>0</v>
      </c>
      <c r="V189" s="913">
        <v>0</v>
      </c>
      <c r="W189" s="913">
        <f t="shared" si="15"/>
        <v>0</v>
      </c>
    </row>
    <row r="190" spans="1:23" hidden="1" x14ac:dyDescent="0.2">
      <c r="A190" s="903"/>
      <c r="B190" s="908" t="s">
        <v>254</v>
      </c>
      <c r="C190" s="913">
        <v>0</v>
      </c>
      <c r="D190" s="913">
        <v>0</v>
      </c>
      <c r="E190" s="913">
        <v>0</v>
      </c>
      <c r="F190" s="913">
        <v>0</v>
      </c>
      <c r="G190" s="913">
        <v>0</v>
      </c>
      <c r="H190" s="913">
        <v>0</v>
      </c>
      <c r="I190" s="913">
        <v>0</v>
      </c>
      <c r="J190" s="913">
        <v>0</v>
      </c>
      <c r="K190" s="913">
        <v>0</v>
      </c>
      <c r="L190" s="913">
        <v>0</v>
      </c>
      <c r="M190" s="913">
        <v>0</v>
      </c>
      <c r="N190" s="913">
        <v>0</v>
      </c>
      <c r="O190" s="913">
        <v>0</v>
      </c>
      <c r="P190" s="913">
        <v>0</v>
      </c>
      <c r="Q190" s="913">
        <v>0</v>
      </c>
      <c r="R190" s="913">
        <v>0</v>
      </c>
      <c r="S190" s="913">
        <v>0</v>
      </c>
      <c r="T190" s="913">
        <v>0</v>
      </c>
      <c r="U190" s="913">
        <v>0</v>
      </c>
      <c r="V190" s="913">
        <v>0</v>
      </c>
      <c r="W190" s="913">
        <f t="shared" si="15"/>
        <v>0</v>
      </c>
    </row>
    <row r="191" spans="1:23" hidden="1" x14ac:dyDescent="0.2">
      <c r="A191" s="903"/>
      <c r="B191" s="908" t="s">
        <v>255</v>
      </c>
      <c r="C191" s="913">
        <v>0</v>
      </c>
      <c r="D191" s="913">
        <v>0</v>
      </c>
      <c r="E191" s="913">
        <v>0</v>
      </c>
      <c r="F191" s="913">
        <v>0</v>
      </c>
      <c r="G191" s="913">
        <v>0</v>
      </c>
      <c r="H191" s="913">
        <v>0</v>
      </c>
      <c r="I191" s="913">
        <v>0</v>
      </c>
      <c r="J191" s="913">
        <v>0</v>
      </c>
      <c r="K191" s="913">
        <v>0</v>
      </c>
      <c r="L191" s="913">
        <v>0</v>
      </c>
      <c r="M191" s="913">
        <v>0</v>
      </c>
      <c r="N191" s="913">
        <v>0</v>
      </c>
      <c r="O191" s="913">
        <v>0</v>
      </c>
      <c r="P191" s="913">
        <v>0</v>
      </c>
      <c r="Q191" s="913">
        <v>0</v>
      </c>
      <c r="R191" s="913">
        <v>0</v>
      </c>
      <c r="S191" s="913">
        <v>0</v>
      </c>
      <c r="T191" s="913">
        <v>0</v>
      </c>
      <c r="U191" s="913">
        <v>0</v>
      </c>
      <c r="V191" s="913">
        <v>0</v>
      </c>
      <c r="W191" s="913">
        <f t="shared" si="15"/>
        <v>0</v>
      </c>
    </row>
    <row r="192" spans="1:23" hidden="1" x14ac:dyDescent="0.2">
      <c r="A192" s="903"/>
      <c r="B192" s="908" t="s">
        <v>256</v>
      </c>
      <c r="C192" s="913">
        <v>0</v>
      </c>
      <c r="D192" s="913">
        <v>0</v>
      </c>
      <c r="E192" s="913">
        <v>0</v>
      </c>
      <c r="F192" s="913">
        <v>0</v>
      </c>
      <c r="G192" s="913">
        <v>0</v>
      </c>
      <c r="H192" s="913">
        <v>0</v>
      </c>
      <c r="I192" s="913">
        <v>0</v>
      </c>
      <c r="J192" s="913">
        <v>0</v>
      </c>
      <c r="K192" s="913">
        <v>0</v>
      </c>
      <c r="L192" s="913">
        <v>0</v>
      </c>
      <c r="M192" s="913">
        <v>0</v>
      </c>
      <c r="N192" s="913">
        <v>0</v>
      </c>
      <c r="O192" s="913">
        <v>0</v>
      </c>
      <c r="P192" s="913">
        <v>0</v>
      </c>
      <c r="Q192" s="913">
        <v>0</v>
      </c>
      <c r="R192" s="913">
        <v>0</v>
      </c>
      <c r="S192" s="913">
        <v>0</v>
      </c>
      <c r="T192" s="913">
        <v>0</v>
      </c>
      <c r="U192" s="913">
        <v>0</v>
      </c>
      <c r="V192" s="913">
        <v>0</v>
      </c>
      <c r="W192" s="913">
        <f t="shared" si="15"/>
        <v>0</v>
      </c>
    </row>
    <row r="193" spans="1:23" hidden="1" x14ac:dyDescent="0.2">
      <c r="A193" s="903"/>
      <c r="B193" s="908" t="s">
        <v>257</v>
      </c>
      <c r="C193" s="913">
        <v>0</v>
      </c>
      <c r="D193" s="913">
        <v>0</v>
      </c>
      <c r="E193" s="913">
        <v>0</v>
      </c>
      <c r="F193" s="913">
        <v>0</v>
      </c>
      <c r="G193" s="913">
        <v>0</v>
      </c>
      <c r="H193" s="913">
        <v>0</v>
      </c>
      <c r="I193" s="913">
        <v>0</v>
      </c>
      <c r="J193" s="913">
        <v>0</v>
      </c>
      <c r="K193" s="913">
        <v>0</v>
      </c>
      <c r="L193" s="913">
        <v>0</v>
      </c>
      <c r="M193" s="913">
        <v>0</v>
      </c>
      <c r="N193" s="913">
        <v>0</v>
      </c>
      <c r="O193" s="913">
        <v>0</v>
      </c>
      <c r="P193" s="913">
        <v>0</v>
      </c>
      <c r="Q193" s="913">
        <v>0</v>
      </c>
      <c r="R193" s="913">
        <v>0</v>
      </c>
      <c r="S193" s="913">
        <v>0</v>
      </c>
      <c r="T193" s="913">
        <v>0</v>
      </c>
      <c r="U193" s="913">
        <v>0</v>
      </c>
      <c r="V193" s="913">
        <v>0</v>
      </c>
      <c r="W193" s="913">
        <f t="shared" si="15"/>
        <v>0</v>
      </c>
    </row>
    <row r="194" spans="1:23" hidden="1" x14ac:dyDescent="0.2">
      <c r="A194" s="903"/>
      <c r="B194" s="908" t="s">
        <v>258</v>
      </c>
      <c r="C194" s="913">
        <v>0</v>
      </c>
      <c r="D194" s="913">
        <v>0</v>
      </c>
      <c r="E194" s="913">
        <v>0</v>
      </c>
      <c r="F194" s="913">
        <v>0</v>
      </c>
      <c r="G194" s="913">
        <v>0</v>
      </c>
      <c r="H194" s="913">
        <v>0</v>
      </c>
      <c r="I194" s="913">
        <v>0</v>
      </c>
      <c r="J194" s="913">
        <v>0</v>
      </c>
      <c r="K194" s="913">
        <v>0</v>
      </c>
      <c r="L194" s="913">
        <v>0</v>
      </c>
      <c r="M194" s="913">
        <v>0</v>
      </c>
      <c r="N194" s="913">
        <v>0</v>
      </c>
      <c r="O194" s="913">
        <v>0</v>
      </c>
      <c r="P194" s="913">
        <v>0</v>
      </c>
      <c r="Q194" s="913">
        <v>0</v>
      </c>
      <c r="R194" s="913">
        <v>0</v>
      </c>
      <c r="S194" s="913">
        <v>0</v>
      </c>
      <c r="T194" s="913">
        <v>0</v>
      </c>
      <c r="U194" s="913">
        <v>0</v>
      </c>
      <c r="V194" s="913">
        <v>0</v>
      </c>
      <c r="W194" s="913">
        <f t="shared" si="15"/>
        <v>0</v>
      </c>
    </row>
    <row r="195" spans="1:23" x14ac:dyDescent="0.2">
      <c r="A195" s="903"/>
      <c r="B195" s="908" t="s">
        <v>259</v>
      </c>
      <c r="C195" s="913">
        <v>0</v>
      </c>
      <c r="D195" s="913">
        <v>0</v>
      </c>
      <c r="E195" s="913">
        <v>0</v>
      </c>
      <c r="F195" s="913">
        <v>0</v>
      </c>
      <c r="G195" s="913">
        <v>0</v>
      </c>
      <c r="H195" s="913">
        <v>0</v>
      </c>
      <c r="I195" s="913">
        <v>0</v>
      </c>
      <c r="J195" s="913">
        <v>0</v>
      </c>
      <c r="K195" s="913">
        <v>0</v>
      </c>
      <c r="L195" s="913">
        <v>0</v>
      </c>
      <c r="M195" s="913">
        <v>0</v>
      </c>
      <c r="N195" s="913">
        <v>0</v>
      </c>
      <c r="O195" s="913">
        <v>0</v>
      </c>
      <c r="P195" s="913">
        <v>0</v>
      </c>
      <c r="Q195" s="913">
        <v>0</v>
      </c>
      <c r="R195" s="913">
        <v>0</v>
      </c>
      <c r="S195" s="913">
        <v>0</v>
      </c>
      <c r="T195" s="913">
        <v>0</v>
      </c>
      <c r="U195" s="913">
        <v>46531</v>
      </c>
      <c r="V195" s="913">
        <v>0</v>
      </c>
      <c r="W195" s="913">
        <f t="shared" si="15"/>
        <v>46531</v>
      </c>
    </row>
    <row r="196" spans="1:23" x14ac:dyDescent="0.2">
      <c r="A196" s="903"/>
      <c r="B196" s="908" t="s">
        <v>260</v>
      </c>
      <c r="C196" s="913">
        <v>0</v>
      </c>
      <c r="D196" s="913">
        <v>0</v>
      </c>
      <c r="E196" s="913">
        <v>0</v>
      </c>
      <c r="F196" s="913">
        <v>0</v>
      </c>
      <c r="G196" s="913">
        <v>0</v>
      </c>
      <c r="H196" s="913">
        <v>0</v>
      </c>
      <c r="I196" s="913">
        <v>0</v>
      </c>
      <c r="J196" s="913">
        <v>0</v>
      </c>
      <c r="K196" s="913">
        <v>0</v>
      </c>
      <c r="L196" s="913">
        <v>0</v>
      </c>
      <c r="M196" s="913">
        <v>0</v>
      </c>
      <c r="N196" s="913">
        <v>0</v>
      </c>
      <c r="O196" s="913">
        <v>0</v>
      </c>
      <c r="P196" s="913">
        <v>0</v>
      </c>
      <c r="Q196" s="913">
        <v>0</v>
      </c>
      <c r="R196" s="913">
        <v>0</v>
      </c>
      <c r="S196" s="913">
        <v>0</v>
      </c>
      <c r="T196" s="913">
        <v>362006</v>
      </c>
      <c r="U196" s="913">
        <v>0</v>
      </c>
      <c r="V196" s="913">
        <v>0</v>
      </c>
      <c r="W196" s="913">
        <f t="shared" si="15"/>
        <v>362006</v>
      </c>
    </row>
  </sheetData>
  <pageMargins left="0.7" right="0.7" top="0.75" bottom="0.75" header="0.3" footer="0.3"/>
  <pageSetup scale="58" orientation="portrait" r:id="rId1"/>
  <colBreaks count="2" manualBreakCount="2">
    <brk id="6" max="195" man="1"/>
    <brk id="17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EE838-21A6-4BBC-B6EF-9514FF968360}">
  <dimension ref="A1:G156"/>
  <sheetViews>
    <sheetView showGridLines="0" zoomScale="85" zoomScaleNormal="85" workbookViewId="0">
      <selection activeCell="A5" sqref="A5:XFD7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5.28515625" style="12" bestFit="1" customWidth="1"/>
    <col min="4" max="4" width="18.7109375" style="12" bestFit="1" customWidth="1"/>
    <col min="5" max="5" width="19.5703125" bestFit="1" customWidth="1"/>
    <col min="6" max="6" width="16.710937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535" t="s">
        <v>667</v>
      </c>
      <c r="D1" s="10" t="s">
        <v>119</v>
      </c>
    </row>
    <row r="3" spans="1:5" s="15" customFormat="1" ht="38.25" x14ac:dyDescent="0.2">
      <c r="A3" s="13"/>
      <c r="B3" s="13" t="s">
        <v>120</v>
      </c>
      <c r="C3" s="14" t="s">
        <v>545</v>
      </c>
      <c r="D3" s="14" t="s">
        <v>546</v>
      </c>
      <c r="E3" s="14" t="s">
        <v>123</v>
      </c>
    </row>
    <row r="4" spans="1:5" x14ac:dyDescent="0.2">
      <c r="B4" s="3"/>
    </row>
    <row r="5" spans="1:5" x14ac:dyDescent="0.2">
      <c r="B5" s="16" t="s">
        <v>124</v>
      </c>
      <c r="C5" s="43">
        <f>'19_20 District Budget Summ-10'!R33</f>
        <v>3738794</v>
      </c>
      <c r="D5" s="43">
        <f>SUM('PCFP - All Revenue AA-1 R-10'!F33,'PCFP - All Revenue AA-1 R-10'!H33)</f>
        <v>1133673</v>
      </c>
      <c r="E5" s="44">
        <f>D5-C5</f>
        <v>-2605121</v>
      </c>
    </row>
    <row r="6" spans="1:5" x14ac:dyDescent="0.2">
      <c r="C6" s="43"/>
      <c r="D6" s="43"/>
      <c r="E6" s="44"/>
    </row>
    <row r="7" spans="1:5" x14ac:dyDescent="0.2">
      <c r="B7" s="16" t="s">
        <v>125</v>
      </c>
      <c r="C7" s="43">
        <f>'19_20 District Budget Summ-10'!R46</f>
        <v>11702189</v>
      </c>
      <c r="D7" s="43">
        <f>SUM('PCFP - All Revenue AA-1 R-10'!F49,'PCFP - All Revenue AA-1 R-10'!H49)</f>
        <v>11674093.513282137</v>
      </c>
      <c r="E7" s="44">
        <f>D7-C7</f>
        <v>-28095.486717863008</v>
      </c>
    </row>
    <row r="8" spans="1:5" x14ac:dyDescent="0.2">
      <c r="C8" s="43"/>
      <c r="D8" s="43"/>
      <c r="E8" s="44"/>
    </row>
    <row r="9" spans="1:5" x14ac:dyDescent="0.2">
      <c r="B9" s="16" t="s">
        <v>126</v>
      </c>
      <c r="C9" s="43">
        <f>'19_20 District Budget Summ-10'!R60</f>
        <v>922000</v>
      </c>
      <c r="D9" s="43">
        <f>SUM('PCFP - All Revenue AA-1 R-10'!F57,'PCFP - All Revenue AA-1 R-10'!H57)</f>
        <v>922000</v>
      </c>
      <c r="E9" s="44">
        <f>D9-C9</f>
        <v>0</v>
      </c>
    </row>
    <row r="10" spans="1:5" x14ac:dyDescent="0.2">
      <c r="C10" s="43"/>
      <c r="D10" s="43"/>
      <c r="E10" s="44"/>
    </row>
    <row r="11" spans="1:5" x14ac:dyDescent="0.2">
      <c r="B11" s="16" t="s">
        <v>127</v>
      </c>
      <c r="C11" s="43">
        <f>'19_20 District Budget Summ-10'!R67</f>
        <v>0</v>
      </c>
      <c r="D11" s="43">
        <f>SUM('PCFP - All Revenue AA-1 R-10'!F67,'PCFP - All Revenue AA-1 R-10'!H67)</f>
        <v>0</v>
      </c>
      <c r="E11" s="44">
        <f>D11-C11</f>
        <v>0</v>
      </c>
    </row>
    <row r="12" spans="1:5" x14ac:dyDescent="0.2">
      <c r="C12" s="43"/>
      <c r="D12" s="43"/>
      <c r="E12" s="44"/>
    </row>
    <row r="13" spans="1:5" s="2" customFormat="1" x14ac:dyDescent="0.2">
      <c r="B13" s="18" t="s">
        <v>128</v>
      </c>
      <c r="C13" s="40">
        <f t="shared" ref="C13" si="0">SUM(C5:C12)</f>
        <v>16362983</v>
      </c>
      <c r="D13" s="40">
        <f>SUM(D5:D12)</f>
        <v>13729766.513282137</v>
      </c>
      <c r="E13" s="41">
        <f>D13-C13</f>
        <v>-2633216.486717863</v>
      </c>
    </row>
    <row r="14" spans="1:5" x14ac:dyDescent="0.2">
      <c r="C14" s="43"/>
      <c r="D14" s="43"/>
      <c r="E14" s="44"/>
    </row>
    <row r="15" spans="1:5" x14ac:dyDescent="0.2">
      <c r="B15" s="16" t="s">
        <v>129</v>
      </c>
      <c r="C15" s="43">
        <f>'19_20 District Budget Summ-10'!R78</f>
        <v>2618483</v>
      </c>
      <c r="D15" s="43">
        <f>SUM('PCFP - All Revenue AA-1 R-10'!F71,'PCFP - All Revenue AA-1 R-10'!H71)</f>
        <v>2618483</v>
      </c>
      <c r="E15" s="328">
        <f>D15-C15</f>
        <v>0</v>
      </c>
    </row>
    <row r="16" spans="1:5" x14ac:dyDescent="0.2">
      <c r="C16" s="43"/>
      <c r="D16" s="43"/>
      <c r="E16" s="44"/>
    </row>
    <row r="17" spans="1:7" x14ac:dyDescent="0.2">
      <c r="A17" s="22"/>
      <c r="B17" s="23" t="s">
        <v>306</v>
      </c>
      <c r="C17" s="47">
        <f t="shared" ref="C17" si="1">SUM(C13:C15)</f>
        <v>18981466</v>
      </c>
      <c r="D17" s="47">
        <f>SUM(D13:D15)</f>
        <v>16348249.513282137</v>
      </c>
      <c r="E17" s="497">
        <f>D17-C17</f>
        <v>-2633216.486717863</v>
      </c>
      <c r="F17" s="26"/>
      <c r="G17" s="17"/>
    </row>
    <row r="18" spans="1:7" s="2" customFormat="1" x14ac:dyDescent="0.2">
      <c r="A18" s="27"/>
      <c r="B18" s="28" t="s">
        <v>131</v>
      </c>
      <c r="C18" s="50">
        <f>SUM(C21,C38,C67)</f>
        <v>18981466</v>
      </c>
      <c r="D18" s="50">
        <f>SUM(D21,D38,D67)</f>
        <v>18981465.800000001</v>
      </c>
      <c r="E18" s="51">
        <f>D18-C18</f>
        <v>-0.19999999925494194</v>
      </c>
    </row>
    <row r="19" spans="1:7" x14ac:dyDescent="0.2">
      <c r="A19" s="30"/>
      <c r="B19" s="286" t="s">
        <v>132</v>
      </c>
      <c r="C19" s="530">
        <f t="shared" ref="C19" si="2">C17-C18</f>
        <v>0</v>
      </c>
      <c r="D19" s="530">
        <f>D17-D18</f>
        <v>-2633216.2867178638</v>
      </c>
      <c r="E19" s="51">
        <f>D19-C19</f>
        <v>-2633216.2867178638</v>
      </c>
    </row>
    <row r="20" spans="1:7" x14ac:dyDescent="0.2">
      <c r="C20" s="43"/>
      <c r="D20" s="43"/>
      <c r="E20" s="44"/>
    </row>
    <row r="21" spans="1:7" x14ac:dyDescent="0.2">
      <c r="A21" s="3"/>
      <c r="B21" s="3" t="s">
        <v>468</v>
      </c>
      <c r="C21" s="328">
        <f>SUM(C22:C36)</f>
        <v>9645331</v>
      </c>
      <c r="D21" s="328">
        <f t="shared" ref="D21" si="3">SUM(D22:D36)</f>
        <v>7604221</v>
      </c>
      <c r="E21" s="43"/>
    </row>
    <row r="22" spans="1:7" hidden="1" x14ac:dyDescent="0.2">
      <c r="A22" s="3">
        <v>100</v>
      </c>
      <c r="B22" s="3" t="s">
        <v>134</v>
      </c>
      <c r="C22" s="328">
        <f>'19_20 District Budget Summ-10'!R85</f>
        <v>6659433</v>
      </c>
      <c r="D22" s="328">
        <f>'PCFP-All Expense AA-1 Modifd-10'!J3</f>
        <v>4958130</v>
      </c>
      <c r="E22" s="487"/>
    </row>
    <row r="23" spans="1:7" hidden="1" x14ac:dyDescent="0.2">
      <c r="A23" s="3">
        <v>200</v>
      </c>
      <c r="B23" s="3" t="s">
        <v>135</v>
      </c>
      <c r="C23" s="328">
        <f>'19_20 District Budget Summ-10'!R86</f>
        <v>1292975</v>
      </c>
      <c r="D23" s="328">
        <f>'PCFP-All Expense AA-1 Modifd-10'!J4</f>
        <v>0</v>
      </c>
      <c r="E23" s="487"/>
    </row>
    <row r="24" spans="1:7" hidden="1" x14ac:dyDescent="0.2">
      <c r="A24" s="3" t="s">
        <v>10</v>
      </c>
      <c r="B24" s="3" t="s">
        <v>136</v>
      </c>
      <c r="C24" s="328">
        <f>'19_20 District Budget Summ-10'!R87</f>
        <v>0</v>
      </c>
      <c r="D24" s="328">
        <f>'PCFP-All Expense AA-1 Modifd-10'!J5</f>
        <v>1618199</v>
      </c>
      <c r="E24" s="487"/>
    </row>
    <row r="25" spans="1:7" hidden="1" x14ac:dyDescent="0.2">
      <c r="A25" s="3">
        <v>270</v>
      </c>
      <c r="B25" s="3" t="s">
        <v>137</v>
      </c>
      <c r="C25" s="328">
        <f>'19_20 District Budget Summ-10'!R88</f>
        <v>0</v>
      </c>
      <c r="D25" s="328">
        <f>'PCFP-All Expense AA-1 Modifd-10'!J6</f>
        <v>0</v>
      </c>
      <c r="E25" s="487"/>
    </row>
    <row r="26" spans="1:7" hidden="1" x14ac:dyDescent="0.2">
      <c r="A26" s="3" t="s">
        <v>10</v>
      </c>
      <c r="B26" s="3" t="s">
        <v>138</v>
      </c>
      <c r="C26" s="328">
        <f>'19_20 District Budget Summ-10'!R89</f>
        <v>0</v>
      </c>
      <c r="D26" s="328">
        <f>'PCFP-All Expense AA-1 Modifd-10'!J7</f>
        <v>0</v>
      </c>
      <c r="E26" s="487"/>
    </row>
    <row r="27" spans="1:7" hidden="1" x14ac:dyDescent="0.2">
      <c r="A27" s="3">
        <v>300</v>
      </c>
      <c r="B27" s="3" t="s">
        <v>139</v>
      </c>
      <c r="C27" s="328">
        <f>'19_20 District Budget Summ-10'!R90</f>
        <v>1071919</v>
      </c>
      <c r="D27" s="328">
        <f>'PCFP-All Expense AA-1 Modifd-10'!J8</f>
        <v>791089</v>
      </c>
      <c r="E27" s="487"/>
    </row>
    <row r="28" spans="1:7" hidden="1" x14ac:dyDescent="0.2">
      <c r="A28" s="3">
        <v>400</v>
      </c>
      <c r="B28" s="3" t="s">
        <v>140</v>
      </c>
      <c r="C28" s="328">
        <f>'19_20 District Budget Summ-10'!R91</f>
        <v>44350</v>
      </c>
      <c r="D28" s="328">
        <f>'PCFP-All Expense AA-1 Modifd-10'!J9</f>
        <v>0</v>
      </c>
      <c r="E28" s="487"/>
    </row>
    <row r="29" spans="1:7" hidden="1" x14ac:dyDescent="0.2">
      <c r="A29" s="3" t="s">
        <v>10</v>
      </c>
      <c r="B29" s="3" t="s">
        <v>141</v>
      </c>
      <c r="C29" s="328">
        <f>'19_20 District Budget Summ-10'!R92</f>
        <v>0</v>
      </c>
      <c r="D29" s="328">
        <f>'PCFP-All Expense AA-1 Modifd-10'!J10</f>
        <v>0</v>
      </c>
      <c r="E29" s="487"/>
    </row>
    <row r="30" spans="1:7" hidden="1" x14ac:dyDescent="0.2">
      <c r="A30" s="3" t="s">
        <v>10</v>
      </c>
      <c r="B30" s="3" t="s">
        <v>142</v>
      </c>
      <c r="C30" s="328">
        <f>'19_20 District Budget Summ-10'!R93</f>
        <v>0</v>
      </c>
      <c r="D30" s="328">
        <f>'PCFP-All Expense AA-1 Modifd-10'!J11</f>
        <v>0</v>
      </c>
      <c r="E30" s="487"/>
    </row>
    <row r="31" spans="1:7" hidden="1" x14ac:dyDescent="0.2">
      <c r="A31" s="3">
        <v>440</v>
      </c>
      <c r="B31" s="3" t="s">
        <v>143</v>
      </c>
      <c r="C31" s="328">
        <f>'19_20 District Budget Summ-10'!R95</f>
        <v>0</v>
      </c>
      <c r="D31" s="328">
        <f>'PCFP-All Expense AA-1 Modifd-10'!J12</f>
        <v>0</v>
      </c>
      <c r="E31" s="487"/>
    </row>
    <row r="32" spans="1:7" hidden="1" x14ac:dyDescent="0.2">
      <c r="A32" s="3">
        <v>500</v>
      </c>
      <c r="B32" s="3" t="s">
        <v>144</v>
      </c>
      <c r="C32" s="328">
        <f>'19_20 District Budget Summ-10'!R96</f>
        <v>0</v>
      </c>
      <c r="D32" s="328">
        <f>'PCFP-All Expense AA-1 Modifd-10'!J13</f>
        <v>0</v>
      </c>
      <c r="E32" s="487"/>
    </row>
    <row r="33" spans="1:5" hidden="1" x14ac:dyDescent="0.2">
      <c r="A33" s="3">
        <v>600</v>
      </c>
      <c r="B33" s="3" t="s">
        <v>145</v>
      </c>
      <c r="C33" s="328">
        <f>'19_20 District Budget Summ-10'!R97</f>
        <v>305000</v>
      </c>
      <c r="D33" s="328">
        <f>'PCFP-All Expense AA-1 Modifd-10'!J14</f>
        <v>0</v>
      </c>
      <c r="E33" s="487"/>
    </row>
    <row r="34" spans="1:5" hidden="1" x14ac:dyDescent="0.2">
      <c r="A34" s="3">
        <v>800</v>
      </c>
      <c r="B34" s="3" t="s">
        <v>146</v>
      </c>
      <c r="C34" s="328">
        <f>'19_20 District Budget Summ-10'!R98</f>
        <v>0</v>
      </c>
      <c r="D34" s="328">
        <f>'PCFP-All Expense AA-1 Modifd-10'!J15</f>
        <v>0</v>
      </c>
      <c r="E34" s="487"/>
    </row>
    <row r="35" spans="1:5" hidden="1" x14ac:dyDescent="0.2">
      <c r="A35" s="3">
        <v>910</v>
      </c>
      <c r="B35" s="3" t="s">
        <v>147</v>
      </c>
      <c r="C35" s="328">
        <f>'19_20 District Budget Summ-10'!R99</f>
        <v>2000</v>
      </c>
      <c r="D35" s="328">
        <f>'PCFP-All Expense AA-1 Modifd-10'!J16</f>
        <v>0</v>
      </c>
      <c r="E35" s="487"/>
    </row>
    <row r="36" spans="1:5" hidden="1" x14ac:dyDescent="0.2">
      <c r="A36" s="3">
        <v>920</v>
      </c>
      <c r="B36" s="3" t="s">
        <v>148</v>
      </c>
      <c r="C36" s="328">
        <f>'19_20 District Budget Summ-10'!R100</f>
        <v>269654</v>
      </c>
      <c r="D36" s="328">
        <f>'PCFP-All Expense AA-1 Modifd-10'!J17</f>
        <v>236803</v>
      </c>
      <c r="E36" s="487"/>
    </row>
    <row r="37" spans="1:5" x14ac:dyDescent="0.2">
      <c r="A37" s="3"/>
      <c r="B37" s="3"/>
      <c r="C37" s="328"/>
      <c r="D37" s="328"/>
      <c r="E37" s="487"/>
    </row>
    <row r="38" spans="1:5" x14ac:dyDescent="0.2">
      <c r="A38" s="3" t="s">
        <v>149</v>
      </c>
      <c r="B38" s="3" t="s">
        <v>150</v>
      </c>
      <c r="C38" s="328">
        <f>SUM(C39:C65)</f>
        <v>10978135</v>
      </c>
      <c r="D38" s="328">
        <f>SUM(D39:D65)</f>
        <v>9535935</v>
      </c>
      <c r="E38" s="487"/>
    </row>
    <row r="39" spans="1:5" hidden="1" x14ac:dyDescent="0.2">
      <c r="A39" s="3">
        <v>2100</v>
      </c>
      <c r="B39" s="3" t="s">
        <v>151</v>
      </c>
      <c r="C39" s="328">
        <f>'19_20 District Budget Summ-10'!R103</f>
        <v>194000</v>
      </c>
      <c r="D39" s="328">
        <f>'PCFP-All Expense AA-1 Modifd-10'!J21</f>
        <v>194000</v>
      </c>
      <c r="E39" s="487"/>
    </row>
    <row r="40" spans="1:5" hidden="1" x14ac:dyDescent="0.2">
      <c r="A40" s="3">
        <v>2200</v>
      </c>
      <c r="B40" s="3" t="s">
        <v>152</v>
      </c>
      <c r="C40" s="328">
        <f>'19_20 District Budget Summ-10'!R104</f>
        <v>6875</v>
      </c>
      <c r="D40" s="328">
        <f>'PCFP-All Expense AA-1 Modifd-10'!J22</f>
        <v>6375</v>
      </c>
      <c r="E40" s="487"/>
    </row>
    <row r="41" spans="1:5" hidden="1" x14ac:dyDescent="0.2">
      <c r="A41" s="3">
        <v>2300</v>
      </c>
      <c r="B41" s="3" t="s">
        <v>153</v>
      </c>
      <c r="C41" s="328">
        <f>'19_20 District Budget Summ-10'!R105</f>
        <v>1821664</v>
      </c>
      <c r="D41" s="328">
        <f>'PCFP-All Expense AA-1 Modifd-10'!J23</f>
        <v>1821664</v>
      </c>
      <c r="E41" s="487"/>
    </row>
    <row r="42" spans="1:5" hidden="1" x14ac:dyDescent="0.2">
      <c r="A42" s="3">
        <v>2400</v>
      </c>
      <c r="B42" s="3" t="s">
        <v>154</v>
      </c>
      <c r="C42" s="328">
        <f>'19_20 District Budget Summ-10'!R106</f>
        <v>1983635</v>
      </c>
      <c r="D42" s="328">
        <f>'PCFP-All Expense AA-1 Modifd-10'!J24</f>
        <v>1747596</v>
      </c>
      <c r="E42" s="487"/>
    </row>
    <row r="43" spans="1:5" hidden="1" x14ac:dyDescent="0.2">
      <c r="A43" s="3">
        <v>2500</v>
      </c>
      <c r="B43" s="3" t="s">
        <v>155</v>
      </c>
      <c r="C43" s="328">
        <f>'19_20 District Budget Summ-10'!R107</f>
        <v>0</v>
      </c>
      <c r="D43" s="328">
        <f>'PCFP-All Expense AA-1 Modifd-10'!J25</f>
        <v>0</v>
      </c>
      <c r="E43" s="487"/>
    </row>
    <row r="44" spans="1:5" hidden="1" x14ac:dyDescent="0.2">
      <c r="A44" s="3">
        <v>2600</v>
      </c>
      <c r="B44" s="3" t="s">
        <v>156</v>
      </c>
      <c r="C44" s="328">
        <f>'19_20 District Budget Summ-10'!R108</f>
        <v>1450897</v>
      </c>
      <c r="D44" s="328">
        <f>'PCFP-All Expense AA-1 Modifd-10'!J26</f>
        <v>1361649</v>
      </c>
      <c r="E44" s="487"/>
    </row>
    <row r="45" spans="1:5" hidden="1" x14ac:dyDescent="0.2">
      <c r="A45" s="3">
        <v>2700</v>
      </c>
      <c r="B45" s="3" t="s">
        <v>157</v>
      </c>
      <c r="C45" s="328">
        <f>'19_20 District Budget Summ-10'!R109</f>
        <v>702310</v>
      </c>
      <c r="D45" s="328">
        <f>'PCFP-All Expense AA-1 Modifd-10'!J27</f>
        <v>702310</v>
      </c>
      <c r="E45" s="487"/>
    </row>
    <row r="46" spans="1:5" hidden="1" x14ac:dyDescent="0.2">
      <c r="A46" s="3">
        <v>2900</v>
      </c>
      <c r="B46" s="3" t="s">
        <v>158</v>
      </c>
      <c r="C46" s="328">
        <f>'19_20 District Budget Summ-10'!R110</f>
        <v>0</v>
      </c>
      <c r="D46" s="328">
        <f>'PCFP-All Expense AA-1 Modifd-10'!J28</f>
        <v>0</v>
      </c>
      <c r="E46" s="487"/>
    </row>
    <row r="47" spans="1:5" hidden="1" x14ac:dyDescent="0.2">
      <c r="A47" s="3">
        <v>3000</v>
      </c>
      <c r="B47" s="3" t="s">
        <v>159</v>
      </c>
      <c r="C47" s="328">
        <f>'19_20 District Budget Summ-10'!R111</f>
        <v>0</v>
      </c>
      <c r="D47" s="328">
        <f>'PCFP-All Expense AA-1 Modifd-10'!J29</f>
        <v>0</v>
      </c>
      <c r="E47" s="487"/>
    </row>
    <row r="48" spans="1:5" hidden="1" x14ac:dyDescent="0.2">
      <c r="A48" s="3">
        <v>3100</v>
      </c>
      <c r="B48" s="3" t="s">
        <v>160</v>
      </c>
      <c r="C48" s="328">
        <f>'19_20 District Budget Summ-10'!R112</f>
        <v>301000</v>
      </c>
      <c r="D48" s="328">
        <f>'PCFP-All Expense AA-1 Modifd-10'!J30</f>
        <v>333594</v>
      </c>
      <c r="E48" s="487"/>
    </row>
    <row r="49" spans="1:5" hidden="1" x14ac:dyDescent="0.2">
      <c r="A49" s="3">
        <v>3200</v>
      </c>
      <c r="B49" s="3" t="s">
        <v>161</v>
      </c>
      <c r="C49" s="328">
        <f>'19_20 District Budget Summ-10'!R113</f>
        <v>0</v>
      </c>
      <c r="D49" s="328">
        <f>'PCFP-All Expense AA-1 Modifd-10'!J31</f>
        <v>75258</v>
      </c>
      <c r="E49" s="487"/>
    </row>
    <row r="50" spans="1:5" hidden="1" x14ac:dyDescent="0.2">
      <c r="A50" s="3">
        <v>3300</v>
      </c>
      <c r="B50" s="3" t="s">
        <v>162</v>
      </c>
      <c r="C50" s="328">
        <f>'19_20 District Budget Summ-10'!R114</f>
        <v>0</v>
      </c>
      <c r="D50" s="328">
        <f>'PCFP-All Expense AA-1 Modifd-10'!J32</f>
        <v>0</v>
      </c>
      <c r="E50" s="487"/>
    </row>
    <row r="51" spans="1:5" hidden="1" x14ac:dyDescent="0.2">
      <c r="A51" s="3">
        <v>4000</v>
      </c>
      <c r="B51" s="3" t="s">
        <v>164</v>
      </c>
      <c r="C51" s="328">
        <f>'19_20 District Budget Summ-10'!R115</f>
        <v>0</v>
      </c>
      <c r="D51" s="328">
        <f>'PCFP-All Expense AA-1 Modifd-10'!J33</f>
        <v>0</v>
      </c>
      <c r="E51" s="487"/>
    </row>
    <row r="52" spans="1:5" hidden="1" x14ac:dyDescent="0.2">
      <c r="A52" s="3">
        <v>4100</v>
      </c>
      <c r="B52" s="3" t="s">
        <v>163</v>
      </c>
      <c r="C52" s="328">
        <f>'19_20 District Budget Summ-10'!R116</f>
        <v>0</v>
      </c>
      <c r="D52" s="328">
        <f>'PCFP-All Expense AA-1 Modifd-10'!J34</f>
        <v>0</v>
      </c>
      <c r="E52" s="487"/>
    </row>
    <row r="53" spans="1:5" hidden="1" x14ac:dyDescent="0.2">
      <c r="A53" s="3">
        <v>4200</v>
      </c>
      <c r="B53" s="3" t="s">
        <v>165</v>
      </c>
      <c r="C53" s="328">
        <f>'19_20 District Budget Summ-10'!R117</f>
        <v>0</v>
      </c>
      <c r="D53" s="328">
        <f>'PCFP-All Expense AA-1 Modifd-10'!J35</f>
        <v>0</v>
      </c>
      <c r="E53" s="487"/>
    </row>
    <row r="54" spans="1:5" hidden="1" x14ac:dyDescent="0.2">
      <c r="A54" s="3">
        <v>4300</v>
      </c>
      <c r="B54" s="3" t="s">
        <v>166</v>
      </c>
      <c r="C54" s="328">
        <f>'19_20 District Budget Summ-10'!R118</f>
        <v>0</v>
      </c>
      <c r="D54" s="328">
        <f>'PCFP-All Expense AA-1 Modifd-10'!J36</f>
        <v>0</v>
      </c>
      <c r="E54" s="487"/>
    </row>
    <row r="55" spans="1:5" hidden="1" x14ac:dyDescent="0.2">
      <c r="A55" s="3">
        <v>4400</v>
      </c>
      <c r="B55" s="3" t="s">
        <v>167</v>
      </c>
      <c r="C55" s="328">
        <f>'19_20 District Budget Summ-10'!R119</f>
        <v>0</v>
      </c>
      <c r="D55" s="328">
        <f>'PCFP-All Expense AA-1 Modifd-10'!J37</f>
        <v>0</v>
      </c>
      <c r="E55" s="487"/>
    </row>
    <row r="56" spans="1:5" hidden="1" x14ac:dyDescent="0.2">
      <c r="A56" s="3">
        <v>4500</v>
      </c>
      <c r="B56" s="3" t="s">
        <v>168</v>
      </c>
      <c r="C56" s="328">
        <f>'19_20 District Budget Summ-10'!R120</f>
        <v>75000</v>
      </c>
      <c r="D56" s="328">
        <f>'PCFP-All Expense AA-1 Modifd-10'!J38</f>
        <v>0</v>
      </c>
      <c r="E56" s="487"/>
    </row>
    <row r="57" spans="1:5" hidden="1" x14ac:dyDescent="0.2">
      <c r="A57" s="3">
        <v>4600</v>
      </c>
      <c r="B57" s="3" t="s">
        <v>169</v>
      </c>
      <c r="C57" s="328">
        <f>'19_20 District Budget Summ-10'!R121</f>
        <v>0</v>
      </c>
      <c r="D57" s="328">
        <f>'PCFP-All Expense AA-1 Modifd-10'!J39</f>
        <v>0</v>
      </c>
      <c r="E57" s="487"/>
    </row>
    <row r="58" spans="1:5" hidden="1" x14ac:dyDescent="0.2">
      <c r="A58" s="3">
        <v>4700</v>
      </c>
      <c r="B58" s="3" t="s">
        <v>170</v>
      </c>
      <c r="C58" s="328">
        <f>'19_20 District Budget Summ-10'!R122</f>
        <v>345000</v>
      </c>
      <c r="D58" s="328">
        <f>'PCFP-All Expense AA-1 Modifd-10'!J40</f>
        <v>0</v>
      </c>
      <c r="E58" s="487"/>
    </row>
    <row r="59" spans="1:5" hidden="1" x14ac:dyDescent="0.2">
      <c r="A59" s="3">
        <v>4900</v>
      </c>
      <c r="B59" s="3" t="s">
        <v>171</v>
      </c>
      <c r="C59" s="328">
        <f>'19_20 District Budget Summ-10'!R123</f>
        <v>0</v>
      </c>
      <c r="D59" s="328">
        <f>'PCFP-All Expense AA-1 Modifd-10'!J41</f>
        <v>0</v>
      </c>
      <c r="E59" s="487"/>
    </row>
    <row r="60" spans="1:5" hidden="1" x14ac:dyDescent="0.2">
      <c r="A60" s="3">
        <v>5000</v>
      </c>
      <c r="B60" s="3" t="s">
        <v>172</v>
      </c>
      <c r="C60" s="328">
        <f>'19_20 District Budget Summ-10'!R124</f>
        <v>0</v>
      </c>
      <c r="D60" s="328">
        <f>'PCFP-All Expense AA-1 Modifd-10'!J42</f>
        <v>0</v>
      </c>
      <c r="E60" s="487"/>
    </row>
    <row r="61" spans="1:5" hidden="1" x14ac:dyDescent="0.2">
      <c r="A61" s="3">
        <v>5000</v>
      </c>
      <c r="B61" s="3" t="s">
        <v>173</v>
      </c>
      <c r="C61" s="328">
        <f>'19_20 District Budget Summ-10'!R125</f>
        <v>1122845</v>
      </c>
      <c r="D61" s="328">
        <f>'PCFP-All Expense AA-1 Modifd-10'!J43</f>
        <v>1122845</v>
      </c>
      <c r="E61" s="487"/>
    </row>
    <row r="62" spans="1:5" hidden="1" x14ac:dyDescent="0.2">
      <c r="A62" s="3">
        <v>6100</v>
      </c>
      <c r="B62" s="3" t="s">
        <v>174</v>
      </c>
      <c r="C62" s="328">
        <f>'19_20 District Budget Summ-10'!R126</f>
        <v>0</v>
      </c>
      <c r="D62" s="328">
        <f>'PCFP-All Expense AA-1 Modifd-10'!J44</f>
        <v>0</v>
      </c>
      <c r="E62" s="487"/>
    </row>
    <row r="63" spans="1:5" hidden="1" x14ac:dyDescent="0.2">
      <c r="A63" s="3">
        <v>6200</v>
      </c>
      <c r="B63" s="3" t="s">
        <v>175</v>
      </c>
      <c r="C63" s="328">
        <f>'19_20 District Budget Summ-10'!R127</f>
        <v>1672000</v>
      </c>
      <c r="D63" s="328">
        <f>'PCFP-All Expense AA-1 Modifd-10'!J45</f>
        <v>1672000</v>
      </c>
      <c r="E63" s="487"/>
    </row>
    <row r="64" spans="1:5" hidden="1" x14ac:dyDescent="0.2">
      <c r="A64" s="3">
        <v>6300</v>
      </c>
      <c r="B64" s="3" t="s">
        <v>176</v>
      </c>
      <c r="C64" s="328">
        <f>'19_20 District Budget Summ-10'!R128</f>
        <v>25000</v>
      </c>
      <c r="D64" s="328">
        <f>'PCFP-All Expense AA-1 Modifd-10'!J46</f>
        <v>25000</v>
      </c>
      <c r="E64" s="487"/>
    </row>
    <row r="65" spans="1:5" hidden="1" x14ac:dyDescent="0.2">
      <c r="A65" s="3">
        <v>8000</v>
      </c>
      <c r="B65" s="3" t="s">
        <v>177</v>
      </c>
      <c r="C65" s="328">
        <f>'19_20 District Budget Summ-10'!R129</f>
        <v>1277909</v>
      </c>
      <c r="D65" s="328">
        <f>'PCFP-All Expense AA-1 Modifd-10'!J47</f>
        <v>473644</v>
      </c>
      <c r="E65" s="487"/>
    </row>
    <row r="66" spans="1:5" x14ac:dyDescent="0.2">
      <c r="A66" s="3"/>
      <c r="B66" s="3"/>
      <c r="C66" s="328"/>
      <c r="D66" s="328"/>
      <c r="E66" s="487"/>
    </row>
    <row r="67" spans="1:5" s="2" customFormat="1" x14ac:dyDescent="0.2">
      <c r="A67" s="33"/>
      <c r="B67" s="3" t="s">
        <v>308</v>
      </c>
      <c r="C67" s="328">
        <f>SUM(C68:C156)</f>
        <v>-1642000</v>
      </c>
      <c r="D67" s="328">
        <f>SUM(D68:D156)</f>
        <v>1841309.7999999998</v>
      </c>
      <c r="E67" s="487"/>
    </row>
    <row r="68" spans="1:5" hidden="1" x14ac:dyDescent="0.2">
      <c r="B68" t="s">
        <v>179</v>
      </c>
      <c r="C68" s="43">
        <f>'19_20 District Budget Summ-10'!R132</f>
        <v>0</v>
      </c>
      <c r="D68" s="43">
        <f>'PCFP-All Expense AA-1 Modifd-10'!J56</f>
        <v>0</v>
      </c>
      <c r="E68" s="487"/>
    </row>
    <row r="69" spans="1:5" hidden="1" x14ac:dyDescent="0.2">
      <c r="B69" t="s">
        <v>145</v>
      </c>
      <c r="C69" s="43">
        <f>'19_20 District Budget Summ-10'!R133</f>
        <v>0</v>
      </c>
      <c r="D69" s="43">
        <f>'PCFP-All Expense AA-1 Modifd-10'!J57</f>
        <v>61000</v>
      </c>
      <c r="E69" s="487"/>
    </row>
    <row r="70" spans="1:5" hidden="1" x14ac:dyDescent="0.2">
      <c r="B70" t="s">
        <v>180</v>
      </c>
      <c r="C70" s="43">
        <f>'19_20 District Budget Summ-10'!R134</f>
        <v>0</v>
      </c>
      <c r="D70" s="43">
        <f>'PCFP-All Expense AA-1 Modifd-10'!J58</f>
        <v>244000</v>
      </c>
      <c r="E70" s="487"/>
    </row>
    <row r="71" spans="1:5" hidden="1" x14ac:dyDescent="0.2">
      <c r="B71" t="s">
        <v>181</v>
      </c>
      <c r="C71" s="43">
        <f>'19_20 District Budget Summ-10'!R135</f>
        <v>0</v>
      </c>
      <c r="D71" s="43">
        <f>'PCFP-All Expense AA-1 Modifd-10'!J59</f>
        <v>0</v>
      </c>
      <c r="E71" s="487"/>
    </row>
    <row r="72" spans="1:5" hidden="1" x14ac:dyDescent="0.2">
      <c r="B72" t="s">
        <v>182</v>
      </c>
      <c r="C72" s="43">
        <f>'19_20 District Budget Summ-10'!R136</f>
        <v>0</v>
      </c>
      <c r="D72" s="43">
        <f>'PCFP-All Expense AA-1 Modifd-10'!J60</f>
        <v>0</v>
      </c>
      <c r="E72" s="487"/>
    </row>
    <row r="73" spans="1:5" hidden="1" x14ac:dyDescent="0.2">
      <c r="B73" t="s">
        <v>183</v>
      </c>
      <c r="C73" s="43">
        <f>'19_20 District Budget Summ-10'!R137</f>
        <v>0</v>
      </c>
      <c r="D73" s="43">
        <f>'PCFP-All Expense AA-1 Modifd-10'!J61</f>
        <v>40356</v>
      </c>
      <c r="E73" s="487"/>
    </row>
    <row r="74" spans="1:5" hidden="1" x14ac:dyDescent="0.2">
      <c r="B74" t="s">
        <v>184</v>
      </c>
      <c r="C74" s="43">
        <f>'19_20 District Budget Summ-10'!R138</f>
        <v>0</v>
      </c>
      <c r="D74" s="43">
        <f>'PCFP-All Expense AA-1 Modifd-10'!J62</f>
        <v>0</v>
      </c>
      <c r="E74" s="487"/>
    </row>
    <row r="75" spans="1:5" hidden="1" x14ac:dyDescent="0.2">
      <c r="B75" t="s">
        <v>185</v>
      </c>
      <c r="C75" s="43">
        <f>'19_20 District Budget Summ-10'!R139</f>
        <v>0</v>
      </c>
      <c r="D75" s="43">
        <f>'PCFP-All Expense AA-1 Modifd-10'!J63</f>
        <v>71627</v>
      </c>
      <c r="E75" s="487"/>
    </row>
    <row r="76" spans="1:5" hidden="1" x14ac:dyDescent="0.2">
      <c r="B76" t="s">
        <v>186</v>
      </c>
      <c r="C76" s="43">
        <f>'19_20 District Budget Summ-10'!R140</f>
        <v>0</v>
      </c>
      <c r="D76" s="43">
        <f>'PCFP-All Expense AA-1 Modifd-10'!J64</f>
        <v>0</v>
      </c>
      <c r="E76" s="487"/>
    </row>
    <row r="77" spans="1:5" hidden="1" x14ac:dyDescent="0.2">
      <c r="B77" t="s">
        <v>187</v>
      </c>
      <c r="C77" s="43">
        <f>'19_20 District Budget Summ-10'!R141</f>
        <v>0</v>
      </c>
      <c r="D77" s="43">
        <f>'PCFP-All Expense AA-1 Modifd-10'!J65</f>
        <v>0</v>
      </c>
      <c r="E77" s="487"/>
    </row>
    <row r="78" spans="1:5" hidden="1" x14ac:dyDescent="0.2">
      <c r="B78" t="s">
        <v>188</v>
      </c>
      <c r="C78" s="43">
        <f>'19_20 District Budget Summ-10'!R142</f>
        <v>-145000</v>
      </c>
      <c r="D78" s="43">
        <f>'PCFP-All Expense AA-1 Modifd-10'!J66</f>
        <v>452466</v>
      </c>
      <c r="E78" s="487"/>
    </row>
    <row r="79" spans="1:5" hidden="1" x14ac:dyDescent="0.2">
      <c r="B79" t="s">
        <v>189</v>
      </c>
      <c r="C79" s="43">
        <f>'19_20 District Budget Summ-10'!R143</f>
        <v>0</v>
      </c>
      <c r="D79" s="43">
        <f>'PCFP-All Expense AA-1 Modifd-10'!J67</f>
        <v>0</v>
      </c>
      <c r="E79" s="487"/>
    </row>
    <row r="80" spans="1:5" hidden="1" x14ac:dyDescent="0.2">
      <c r="B80" t="s">
        <v>190</v>
      </c>
      <c r="C80" s="43">
        <f>'19_20 District Budget Summ-10'!R144</f>
        <v>0</v>
      </c>
      <c r="D80" s="43">
        <f>'PCFP-All Expense AA-1 Modifd-10'!J68</f>
        <v>0</v>
      </c>
      <c r="E80" s="487"/>
    </row>
    <row r="81" spans="2:5" hidden="1" x14ac:dyDescent="0.2">
      <c r="B81" t="s">
        <v>191</v>
      </c>
      <c r="C81" s="43">
        <f>'19_20 District Budget Summ-10'!R145</f>
        <v>0</v>
      </c>
      <c r="D81" s="43">
        <f>'PCFP-All Expense AA-1 Modifd-10'!J69</f>
        <v>0</v>
      </c>
      <c r="E81" s="487"/>
    </row>
    <row r="82" spans="2:5" hidden="1" x14ac:dyDescent="0.2">
      <c r="B82" t="s">
        <v>192</v>
      </c>
      <c r="C82" s="43">
        <f>'19_20 District Budget Summ-10'!R146</f>
        <v>-1097000</v>
      </c>
      <c r="D82" s="43">
        <f>'PCFP-All Expense AA-1 Modifd-10'!J70</f>
        <v>1691511</v>
      </c>
      <c r="E82" s="487"/>
    </row>
    <row r="83" spans="2:5" hidden="1" x14ac:dyDescent="0.2">
      <c r="B83" t="s">
        <v>193</v>
      </c>
      <c r="C83" s="43">
        <f>'19_20 District Budget Summ-10'!R147</f>
        <v>0</v>
      </c>
      <c r="D83" s="43">
        <f>'PCFP-All Expense AA-1 Modifd-10'!J71</f>
        <v>0</v>
      </c>
      <c r="E83" s="487"/>
    </row>
    <row r="84" spans="2:5" hidden="1" x14ac:dyDescent="0.2">
      <c r="B84" t="s">
        <v>194</v>
      </c>
      <c r="C84" s="43">
        <f>'19_20 District Budget Summ-10'!R148</f>
        <v>0</v>
      </c>
      <c r="D84" s="43">
        <f>'PCFP-All Expense AA-1 Modifd-10'!J72</f>
        <v>0</v>
      </c>
      <c r="E84" s="487"/>
    </row>
    <row r="85" spans="2:5" hidden="1" x14ac:dyDescent="0.2">
      <c r="B85" t="s">
        <v>195</v>
      </c>
      <c r="C85" s="43">
        <f>'19_20 District Budget Summ-10'!R149</f>
        <v>0</v>
      </c>
      <c r="D85" s="43">
        <f>'PCFP-All Expense AA-1 Modifd-10'!J73</f>
        <v>0</v>
      </c>
      <c r="E85" s="487"/>
    </row>
    <row r="86" spans="2:5" hidden="1" x14ac:dyDescent="0.2">
      <c r="B86" t="s">
        <v>196</v>
      </c>
      <c r="C86" s="43">
        <f>'19_20 District Budget Summ-10'!R150</f>
        <v>0</v>
      </c>
      <c r="D86" s="43">
        <f>'PCFP-All Expense AA-1 Modifd-10'!J74</f>
        <v>0</v>
      </c>
      <c r="E86" s="487"/>
    </row>
    <row r="87" spans="2:5" hidden="1" x14ac:dyDescent="0.2">
      <c r="B87" t="s">
        <v>197</v>
      </c>
      <c r="C87" s="43">
        <f>'19_20 District Budget Summ-10'!R151</f>
        <v>0</v>
      </c>
      <c r="D87" s="43">
        <f>'PCFP-All Expense AA-1 Modifd-10'!J75</f>
        <v>0</v>
      </c>
      <c r="E87" s="487"/>
    </row>
    <row r="88" spans="2:5" hidden="1" x14ac:dyDescent="0.2">
      <c r="B88" t="s">
        <v>198</v>
      </c>
      <c r="C88" s="43">
        <f>'19_20 District Budget Summ-10'!R152</f>
        <v>0</v>
      </c>
      <c r="D88" s="43">
        <f>'PCFP-All Expense AA-1 Modifd-10'!J76</f>
        <v>0</v>
      </c>
      <c r="E88" s="487"/>
    </row>
    <row r="89" spans="2:5" hidden="1" x14ac:dyDescent="0.2">
      <c r="B89" t="s">
        <v>199</v>
      </c>
      <c r="C89" s="43">
        <f>'19_20 District Budget Summ-10'!R153</f>
        <v>0</v>
      </c>
      <c r="D89" s="43">
        <f>'PCFP-All Expense AA-1 Modifd-10'!J77</f>
        <v>0</v>
      </c>
      <c r="E89" s="487"/>
    </row>
    <row r="90" spans="2:5" hidden="1" x14ac:dyDescent="0.2">
      <c r="B90" t="s">
        <v>200</v>
      </c>
      <c r="C90" s="43">
        <f>'19_20 District Budget Summ-10'!R154</f>
        <v>0</v>
      </c>
      <c r="D90" s="43">
        <f>'PCFP-All Expense AA-1 Modifd-10'!J78</f>
        <v>0</v>
      </c>
      <c r="E90" s="487"/>
    </row>
    <row r="91" spans="2:5" hidden="1" x14ac:dyDescent="0.2">
      <c r="B91" t="s">
        <v>201</v>
      </c>
      <c r="C91" s="43">
        <f>'19_20 District Budget Summ-10'!R155</f>
        <v>0</v>
      </c>
      <c r="D91" s="43">
        <f>'PCFP-All Expense AA-1 Modifd-10'!J79</f>
        <v>0</v>
      </c>
      <c r="E91" s="487"/>
    </row>
    <row r="92" spans="2:5" hidden="1" x14ac:dyDescent="0.2">
      <c r="B92" t="s">
        <v>202</v>
      </c>
      <c r="C92" s="43">
        <f>'19_20 District Budget Summ-10'!R156</f>
        <v>0</v>
      </c>
      <c r="D92" s="43">
        <f>'PCFP-All Expense AA-1 Modifd-10'!J80</f>
        <v>0</v>
      </c>
      <c r="E92" s="487"/>
    </row>
    <row r="93" spans="2:5" hidden="1" x14ac:dyDescent="0.2">
      <c r="B93" t="s">
        <v>203</v>
      </c>
      <c r="C93" s="43">
        <f>'19_20 District Budget Summ-10'!R157</f>
        <v>0</v>
      </c>
      <c r="D93" s="43">
        <f>'PCFP-All Expense AA-1 Modifd-10'!J81</f>
        <v>0</v>
      </c>
      <c r="E93" s="487"/>
    </row>
    <row r="94" spans="2:5" hidden="1" x14ac:dyDescent="0.2">
      <c r="B94" t="s">
        <v>204</v>
      </c>
      <c r="C94" s="43">
        <f>'19_20 District Budget Summ-10'!R158</f>
        <v>0</v>
      </c>
      <c r="D94" s="43">
        <f>'PCFP-All Expense AA-1 Modifd-10'!J82</f>
        <v>700000</v>
      </c>
      <c r="E94" s="487"/>
    </row>
    <row r="95" spans="2:5" hidden="1" x14ac:dyDescent="0.2">
      <c r="B95" t="s">
        <v>205</v>
      </c>
      <c r="C95" s="43">
        <f>'19_20 District Budget Summ-10'!R159</f>
        <v>0</v>
      </c>
      <c r="D95" s="43">
        <f>'PCFP-All Expense AA-1 Modifd-10'!J83</f>
        <v>0</v>
      </c>
      <c r="E95" s="487"/>
    </row>
    <row r="96" spans="2:5" hidden="1" x14ac:dyDescent="0.2">
      <c r="B96" t="s">
        <v>206</v>
      </c>
      <c r="C96" s="43">
        <f>'19_20 District Budget Summ-10'!R160</f>
        <v>-70000</v>
      </c>
      <c r="D96" s="43">
        <f>'PCFP-All Expense AA-1 Modifd-10'!J84</f>
        <v>0</v>
      </c>
      <c r="E96" s="487"/>
    </row>
    <row r="97" spans="1:5" hidden="1" x14ac:dyDescent="0.2">
      <c r="B97" t="s">
        <v>207</v>
      </c>
      <c r="C97" s="43">
        <f>'19_20 District Budget Summ-10'!R161</f>
        <v>0</v>
      </c>
      <c r="D97" s="43">
        <f>'PCFP-All Expense AA-1 Modifd-10'!J85</f>
        <v>0</v>
      </c>
      <c r="E97" s="487"/>
    </row>
    <row r="98" spans="1:5" hidden="1" x14ac:dyDescent="0.2">
      <c r="B98" t="s">
        <v>208</v>
      </c>
      <c r="C98" s="43">
        <f>'19_20 District Budget Summ-10'!R162</f>
        <v>0</v>
      </c>
      <c r="D98" s="43">
        <f>'PCFP-All Expense AA-1 Modifd-10'!J86</f>
        <v>0</v>
      </c>
      <c r="E98" s="487"/>
    </row>
    <row r="99" spans="1:5" hidden="1" x14ac:dyDescent="0.2">
      <c r="B99" t="s">
        <v>209</v>
      </c>
      <c r="C99" s="43">
        <f>'19_20 District Budget Summ-10'!R163</f>
        <v>0</v>
      </c>
      <c r="D99" s="43">
        <f>'PCFP-All Expense AA-1 Modifd-10'!J87</f>
        <v>0</v>
      </c>
      <c r="E99" s="487"/>
    </row>
    <row r="100" spans="1:5" hidden="1" x14ac:dyDescent="0.2">
      <c r="B100" t="s">
        <v>210</v>
      </c>
      <c r="C100" s="43">
        <f>'19_20 District Budget Summ-10'!R164</f>
        <v>0</v>
      </c>
      <c r="D100" s="43">
        <f>'PCFP-All Expense AA-1 Modifd-10'!J88</f>
        <v>0</v>
      </c>
      <c r="E100" s="487"/>
    </row>
    <row r="101" spans="1:5" hidden="1" x14ac:dyDescent="0.2">
      <c r="B101" t="s">
        <v>211</v>
      </c>
      <c r="C101" s="43">
        <f>'19_20 District Budget Summ-10'!R165</f>
        <v>0</v>
      </c>
      <c r="D101" s="43">
        <f>'PCFP-All Expense AA-1 Modifd-10'!J89</f>
        <v>0</v>
      </c>
      <c r="E101" s="487"/>
    </row>
    <row r="102" spans="1:5" hidden="1" x14ac:dyDescent="0.2">
      <c r="B102" t="s">
        <v>212</v>
      </c>
      <c r="C102" s="43">
        <f>'19_20 District Budget Summ-10'!R166</f>
        <v>0</v>
      </c>
      <c r="D102" s="43">
        <f>'PCFP-All Expense AA-1 Modifd-10'!J90</f>
        <v>0</v>
      </c>
      <c r="E102" s="487"/>
    </row>
    <row r="103" spans="1:5" hidden="1" x14ac:dyDescent="0.2">
      <c r="B103" t="s">
        <v>213</v>
      </c>
      <c r="C103" s="43">
        <f>'19_20 District Budget Summ-10'!R167</f>
        <v>0</v>
      </c>
      <c r="D103" s="43">
        <f>'PCFP-All Expense AA-1 Modifd-10'!J91</f>
        <v>0</v>
      </c>
      <c r="E103" s="487"/>
    </row>
    <row r="104" spans="1:5" hidden="1" x14ac:dyDescent="0.2">
      <c r="B104" t="s">
        <v>214</v>
      </c>
      <c r="C104" s="43">
        <f>'19_20 District Budget Summ-10'!R168</f>
        <v>0</v>
      </c>
      <c r="D104" s="43">
        <f>'PCFP-All Expense AA-1 Modifd-10'!J92</f>
        <v>0</v>
      </c>
      <c r="E104" s="487"/>
    </row>
    <row r="105" spans="1:5" hidden="1" x14ac:dyDescent="0.2">
      <c r="B105" t="s">
        <v>215</v>
      </c>
      <c r="C105" s="43">
        <f>'19_20 District Budget Summ-10'!R169</f>
        <v>0</v>
      </c>
      <c r="D105" s="43">
        <f>'PCFP-All Expense AA-1 Modifd-10'!J93</f>
        <v>0</v>
      </c>
      <c r="E105" s="487"/>
    </row>
    <row r="106" spans="1:5" hidden="1" x14ac:dyDescent="0.2">
      <c r="B106" t="s">
        <v>216</v>
      </c>
      <c r="C106" s="43">
        <f>'19_20 District Budget Summ-10'!R170</f>
        <v>0</v>
      </c>
      <c r="D106" s="43">
        <f>'PCFP-All Expense AA-1 Modifd-10'!J94</f>
        <v>0</v>
      </c>
      <c r="E106" s="487"/>
    </row>
    <row r="107" spans="1:5" hidden="1" x14ac:dyDescent="0.2">
      <c r="B107" t="s">
        <v>217</v>
      </c>
      <c r="C107" s="43">
        <f>'19_20 District Budget Summ-10'!R171</f>
        <v>0</v>
      </c>
      <c r="D107" s="43">
        <f>'PCFP-All Expense AA-1 Modifd-10'!J95</f>
        <v>0</v>
      </c>
      <c r="E107" s="487"/>
    </row>
    <row r="108" spans="1:5" hidden="1" x14ac:dyDescent="0.2">
      <c r="B108" t="s">
        <v>218</v>
      </c>
      <c r="C108" s="43">
        <f>'19_20 District Budget Summ-10'!R172</f>
        <v>0</v>
      </c>
      <c r="D108" s="43">
        <f>'PCFP-All Expense AA-1 Modifd-10'!J96</f>
        <v>0</v>
      </c>
      <c r="E108" s="487"/>
    </row>
    <row r="109" spans="1:5" hidden="1" x14ac:dyDescent="0.2">
      <c r="B109" t="s">
        <v>219</v>
      </c>
      <c r="C109" s="43">
        <f>'19_20 District Budget Summ-10'!R173</f>
        <v>0</v>
      </c>
      <c r="D109" s="43">
        <f>'PCFP-All Expense AA-1 Modifd-10'!J97</f>
        <v>0</v>
      </c>
      <c r="E109" s="487"/>
    </row>
    <row r="110" spans="1:5" hidden="1" x14ac:dyDescent="0.2">
      <c r="B110" t="s">
        <v>220</v>
      </c>
      <c r="C110" s="43">
        <f>'19_20 District Budget Summ-10'!R174</f>
        <v>0</v>
      </c>
      <c r="D110" s="43">
        <f>'PCFP-All Expense AA-1 Modifd-10'!J98</f>
        <v>0</v>
      </c>
      <c r="E110" s="487"/>
    </row>
    <row r="111" spans="1:5" hidden="1" x14ac:dyDescent="0.2">
      <c r="B111" t="s">
        <v>221</v>
      </c>
      <c r="C111" s="43">
        <f>'19_20 District Budget Summ-10'!R175</f>
        <v>0</v>
      </c>
      <c r="D111" s="43">
        <f>'PCFP-All Expense AA-1 Modifd-10'!J99</f>
        <v>0</v>
      </c>
      <c r="E111" s="487"/>
    </row>
    <row r="112" spans="1:5" hidden="1" x14ac:dyDescent="0.2">
      <c r="A112" s="2" t="s">
        <v>10</v>
      </c>
      <c r="B112" t="s">
        <v>142</v>
      </c>
      <c r="C112" s="43">
        <f>'19_20 District Budget Summ-10'!R176</f>
        <v>0</v>
      </c>
      <c r="D112" s="43">
        <f>'PCFP-All Expense AA-1 Modifd-10'!J100</f>
        <v>0</v>
      </c>
      <c r="E112" s="487"/>
    </row>
    <row r="113" spans="1:5" hidden="1" x14ac:dyDescent="0.2">
      <c r="A113" s="2" t="s">
        <v>10</v>
      </c>
      <c r="B113" t="s">
        <v>141</v>
      </c>
      <c r="C113" s="43">
        <f>'19_20 District Budget Summ-10'!R177</f>
        <v>0</v>
      </c>
      <c r="D113" s="43">
        <f>'PCFP-All Expense AA-1 Modifd-10'!J101</f>
        <v>0</v>
      </c>
      <c r="E113" s="487"/>
    </row>
    <row r="114" spans="1:5" hidden="1" x14ac:dyDescent="0.2">
      <c r="A114" s="2" t="s">
        <v>33</v>
      </c>
      <c r="B114" t="s">
        <v>222</v>
      </c>
      <c r="C114" s="43">
        <f>'19_20 District Budget Summ-10'!R178</f>
        <v>0</v>
      </c>
      <c r="D114" s="43">
        <f>'PCFP-All Expense AA-1 Modifd-10'!J102</f>
        <v>0</v>
      </c>
      <c r="E114" s="487"/>
    </row>
    <row r="115" spans="1:5" hidden="1" x14ac:dyDescent="0.2">
      <c r="A115" s="2" t="s">
        <v>10</v>
      </c>
      <c r="B115" t="s">
        <v>138</v>
      </c>
      <c r="C115" s="43">
        <f>'19_20 District Budget Summ-10'!R179</f>
        <v>0</v>
      </c>
      <c r="D115" s="43">
        <f>'PCFP-All Expense AA-1 Modifd-10'!J103</f>
        <v>0</v>
      </c>
      <c r="E115" s="487"/>
    </row>
    <row r="116" spans="1:5" hidden="1" x14ac:dyDescent="0.2">
      <c r="A116" s="2" t="s">
        <v>10</v>
      </c>
      <c r="B116" t="s">
        <v>136</v>
      </c>
      <c r="C116" s="43">
        <f>'19_20 District Budget Summ-10'!R180</f>
        <v>0</v>
      </c>
      <c r="D116" s="43">
        <f>'PCFP-All Expense AA-1 Modifd-10'!J104</f>
        <v>0</v>
      </c>
      <c r="E116" s="487"/>
    </row>
    <row r="117" spans="1:5" hidden="1" x14ac:dyDescent="0.2">
      <c r="B117" t="s">
        <v>223</v>
      </c>
      <c r="C117" s="43">
        <f>'19_20 District Budget Summ-10'!R181</f>
        <v>0</v>
      </c>
      <c r="D117" s="43">
        <f>'PCFP-All Expense AA-1 Modifd-10'!J105</f>
        <v>0</v>
      </c>
      <c r="E117" s="487"/>
    </row>
    <row r="118" spans="1:5" hidden="1" x14ac:dyDescent="0.2">
      <c r="B118" t="s">
        <v>224</v>
      </c>
      <c r="C118" s="43">
        <f>'19_20 District Budget Summ-10'!R182</f>
        <v>0</v>
      </c>
      <c r="D118" s="43">
        <f>'PCFP-All Expense AA-1 Modifd-10'!J106</f>
        <v>0</v>
      </c>
      <c r="E118" s="487"/>
    </row>
    <row r="119" spans="1:5" hidden="1" x14ac:dyDescent="0.2">
      <c r="B119" t="s">
        <v>225</v>
      </c>
      <c r="C119" s="43">
        <f>'19_20 District Budget Summ-10'!R183</f>
        <v>0</v>
      </c>
      <c r="D119" s="43">
        <f>'PCFP-All Expense AA-1 Modifd-10'!J107</f>
        <v>0</v>
      </c>
      <c r="E119" s="487"/>
    </row>
    <row r="120" spans="1:5" hidden="1" x14ac:dyDescent="0.2">
      <c r="B120" t="s">
        <v>226</v>
      </c>
      <c r="C120" s="43">
        <f>'19_20 District Budget Summ-10'!R184</f>
        <v>0</v>
      </c>
      <c r="D120" s="43">
        <f>'PCFP-All Expense AA-1 Modifd-10'!J108</f>
        <v>0</v>
      </c>
      <c r="E120" s="487"/>
    </row>
    <row r="121" spans="1:5" hidden="1" x14ac:dyDescent="0.2">
      <c r="B121" t="s">
        <v>227</v>
      </c>
      <c r="C121" s="43">
        <f>'19_20 District Budget Summ-10'!R185</f>
        <v>0</v>
      </c>
      <c r="D121" s="43">
        <f>'PCFP-All Expense AA-1 Modifd-10'!J109</f>
        <v>0</v>
      </c>
      <c r="E121" s="487"/>
    </row>
    <row r="122" spans="1:5" hidden="1" x14ac:dyDescent="0.2">
      <c r="B122" t="s">
        <v>228</v>
      </c>
      <c r="C122" s="43">
        <f>'19_20 District Budget Summ-10'!R186</f>
        <v>0</v>
      </c>
      <c r="D122" s="43">
        <f>'PCFP-All Expense AA-1 Modifd-10'!J110</f>
        <v>0</v>
      </c>
      <c r="E122" s="487"/>
    </row>
    <row r="123" spans="1:5" hidden="1" x14ac:dyDescent="0.2">
      <c r="B123" t="s">
        <v>229</v>
      </c>
      <c r="C123" s="43">
        <f>'19_20 District Budget Summ-10'!R187</f>
        <v>0</v>
      </c>
      <c r="D123" s="43">
        <f>'PCFP-All Expense AA-1 Modifd-10'!J111</f>
        <v>0</v>
      </c>
      <c r="E123" s="487"/>
    </row>
    <row r="124" spans="1:5" hidden="1" x14ac:dyDescent="0.2">
      <c r="B124" t="s">
        <v>230</v>
      </c>
      <c r="C124" s="43">
        <f>'19_20 District Budget Summ-10'!R188</f>
        <v>0</v>
      </c>
      <c r="D124" s="43">
        <f>'PCFP-All Expense AA-1 Modifd-10'!J112</f>
        <v>0</v>
      </c>
      <c r="E124" s="487"/>
    </row>
    <row r="125" spans="1:5" hidden="1" x14ac:dyDescent="0.2">
      <c r="B125" t="s">
        <v>231</v>
      </c>
      <c r="C125" s="43">
        <f>'19_20 District Budget Summ-10'!R189</f>
        <v>0</v>
      </c>
      <c r="D125" s="43">
        <f>'PCFP-All Expense AA-1 Modifd-10'!J113</f>
        <v>0</v>
      </c>
      <c r="E125" s="487"/>
    </row>
    <row r="126" spans="1:5" hidden="1" x14ac:dyDescent="0.2">
      <c r="B126" t="s">
        <v>232</v>
      </c>
      <c r="C126" s="43">
        <f>'19_20 District Budget Summ-10'!R190</f>
        <v>0</v>
      </c>
      <c r="D126" s="43">
        <f>'PCFP-All Expense AA-1 Modifd-10'!J114</f>
        <v>0</v>
      </c>
      <c r="E126" s="487"/>
    </row>
    <row r="127" spans="1:5" hidden="1" x14ac:dyDescent="0.2">
      <c r="B127" t="s">
        <v>233</v>
      </c>
      <c r="C127" s="43">
        <f>'19_20 District Budget Summ-10'!R191</f>
        <v>0</v>
      </c>
      <c r="D127" s="43">
        <f>'PCFP-All Expense AA-1 Modifd-10'!J115</f>
        <v>0</v>
      </c>
      <c r="E127" s="487"/>
    </row>
    <row r="128" spans="1:5" hidden="1" x14ac:dyDescent="0.2">
      <c r="B128" t="s">
        <v>234</v>
      </c>
      <c r="C128" s="43">
        <f>'19_20 District Budget Summ-10'!R192</f>
        <v>0</v>
      </c>
      <c r="D128" s="43">
        <f>'PCFP-All Expense AA-1 Modifd-10'!J116</f>
        <v>0</v>
      </c>
      <c r="E128" s="487"/>
    </row>
    <row r="129" spans="1:5" hidden="1" x14ac:dyDescent="0.2">
      <c r="B129" t="s">
        <v>9</v>
      </c>
      <c r="C129" s="43">
        <f>'19_20 District Budget Summ-10'!R193</f>
        <v>-330000</v>
      </c>
      <c r="D129" s="43">
        <f>'PCFP-All Expense AA-1 Modifd-10'!J117</f>
        <v>0</v>
      </c>
      <c r="E129" s="487"/>
    </row>
    <row r="130" spans="1:5" hidden="1" x14ac:dyDescent="0.2">
      <c r="B130" s="3" t="s">
        <v>235</v>
      </c>
      <c r="C130" s="43">
        <f>'19_20 District Budget Summ-10'!R194</f>
        <v>0</v>
      </c>
      <c r="D130" s="43">
        <f>'PCFP-All Expense AA-1 Modifd-10'!J118</f>
        <v>0</v>
      </c>
      <c r="E130" s="487"/>
    </row>
    <row r="131" spans="1:5" hidden="1" x14ac:dyDescent="0.2">
      <c r="B131" s="3" t="s">
        <v>236</v>
      </c>
      <c r="C131" s="43">
        <f>'19_20 District Budget Summ-10'!R195</f>
        <v>0</v>
      </c>
      <c r="D131" s="43">
        <f>'PCFP-All Expense AA-1 Modifd-10'!J119</f>
        <v>335853</v>
      </c>
      <c r="E131" s="487"/>
    </row>
    <row r="132" spans="1:5" hidden="1" x14ac:dyDescent="0.2">
      <c r="B132" t="s">
        <v>237</v>
      </c>
      <c r="C132" s="43">
        <f>'19_20 District Budget Summ-10'!R196</f>
        <v>0</v>
      </c>
      <c r="D132" s="43">
        <f>'PCFP-All Expense AA-1 Modifd-10'!J120</f>
        <v>0</v>
      </c>
      <c r="E132" s="487"/>
    </row>
    <row r="133" spans="1:5" hidden="1" x14ac:dyDescent="0.2">
      <c r="B133" t="s">
        <v>238</v>
      </c>
      <c r="C133" s="43">
        <f>'19_20 District Budget Summ-10'!R197</f>
        <v>0</v>
      </c>
      <c r="D133" s="43">
        <f>'PCFP-All Expense AA-1 Modifd-10'!J121</f>
        <v>0</v>
      </c>
      <c r="E133" s="487"/>
    </row>
    <row r="134" spans="1:5" hidden="1" x14ac:dyDescent="0.2">
      <c r="B134" t="s">
        <v>239</v>
      </c>
      <c r="C134" s="43">
        <f>'19_20 District Budget Summ-10'!R198</f>
        <v>0</v>
      </c>
      <c r="D134" s="43">
        <f>'PCFP-All Expense AA-1 Modifd-10'!J122</f>
        <v>0</v>
      </c>
      <c r="E134" s="487"/>
    </row>
    <row r="135" spans="1:5" hidden="1" x14ac:dyDescent="0.2">
      <c r="B135" t="s">
        <v>240</v>
      </c>
      <c r="C135" s="43">
        <f>'19_20 District Budget Summ-10'!R199</f>
        <v>0</v>
      </c>
      <c r="D135" s="43">
        <f>'PCFP-All Expense AA-1 Modifd-10'!J123</f>
        <v>0</v>
      </c>
      <c r="E135" s="487"/>
    </row>
    <row r="136" spans="1:5" hidden="1" x14ac:dyDescent="0.2">
      <c r="B136" t="s">
        <v>241</v>
      </c>
      <c r="C136" s="43">
        <f>'19_20 District Budget Summ-10'!R200</f>
        <v>0</v>
      </c>
      <c r="D136" s="43">
        <f>'PCFP-All Expense AA-1 Modifd-10'!J124</f>
        <v>16496.8</v>
      </c>
      <c r="E136" s="487"/>
    </row>
    <row r="137" spans="1:5" hidden="1" x14ac:dyDescent="0.2">
      <c r="B137" t="s">
        <v>242</v>
      </c>
      <c r="C137" s="43">
        <f>'19_20 District Budget Summ-10'!R201</f>
        <v>0</v>
      </c>
      <c r="D137" s="43">
        <f>'PCFP-All Expense AA-1 Modifd-10'!J125</f>
        <v>0</v>
      </c>
      <c r="E137" s="487"/>
    </row>
    <row r="138" spans="1:5" hidden="1" x14ac:dyDescent="0.2">
      <c r="B138" t="s">
        <v>243</v>
      </c>
      <c r="C138" s="43">
        <f>'19_20 District Budget Summ-10'!R202</f>
        <v>0</v>
      </c>
      <c r="D138" s="43">
        <f>'PCFP-All Expense AA-1 Modifd-10'!J126</f>
        <v>0</v>
      </c>
      <c r="E138" s="487"/>
    </row>
    <row r="139" spans="1:5" hidden="1" x14ac:dyDescent="0.2">
      <c r="B139" t="s">
        <v>244</v>
      </c>
      <c r="C139" s="43">
        <f>'19_20 District Budget Summ-10'!R203</f>
        <v>0</v>
      </c>
      <c r="D139" s="43">
        <f>'PCFP-All Expense AA-1 Modifd-10'!J127</f>
        <v>0</v>
      </c>
      <c r="E139" s="487"/>
    </row>
    <row r="140" spans="1:5" hidden="1" x14ac:dyDescent="0.2">
      <c r="A140" s="2" t="s">
        <v>245</v>
      </c>
      <c r="C140" s="43"/>
      <c r="D140" s="43"/>
      <c r="E140" s="487"/>
    </row>
    <row r="141" spans="1:5" hidden="1" x14ac:dyDescent="0.2">
      <c r="B141" s="2" t="s">
        <v>246</v>
      </c>
      <c r="C141" s="43"/>
      <c r="D141" s="43">
        <f>'PCFP-All Expense AA-1 Modifd-10'!J129</f>
        <v>0</v>
      </c>
      <c r="E141" s="487"/>
    </row>
    <row r="142" spans="1:5" hidden="1" x14ac:dyDescent="0.2">
      <c r="B142" t="s">
        <v>247</v>
      </c>
      <c r="C142" s="43">
        <f>'19_20 District Budget Summ-10'!R206</f>
        <v>0</v>
      </c>
      <c r="D142" s="43">
        <f>'PCFP-All Expense AA-1 Modifd-10'!J130</f>
        <v>0</v>
      </c>
      <c r="E142" s="487"/>
    </row>
    <row r="143" spans="1:5" hidden="1" x14ac:dyDescent="0.2">
      <c r="B143" t="s">
        <v>248</v>
      </c>
      <c r="C143" s="43">
        <f>'19_20 District Budget Summ-10'!R207</f>
        <v>0</v>
      </c>
      <c r="D143" s="43">
        <f>'PCFP-All Expense AA-1 Modifd-10'!J131</f>
        <v>0</v>
      </c>
      <c r="E143" s="487"/>
    </row>
    <row r="144" spans="1:5" hidden="1" x14ac:dyDescent="0.2">
      <c r="B144" t="s">
        <v>249</v>
      </c>
      <c r="C144" s="43">
        <f>'19_20 District Budget Summ-10'!R208</f>
        <v>0</v>
      </c>
      <c r="D144" s="43">
        <f>'PCFP-All Expense AA-1 Modifd-10'!J132</f>
        <v>0</v>
      </c>
      <c r="E144" s="487"/>
    </row>
    <row r="145" spans="2:5" hidden="1" x14ac:dyDescent="0.2">
      <c r="B145" t="s">
        <v>250</v>
      </c>
      <c r="C145" s="43">
        <f>'19_20 District Budget Summ-10'!R209</f>
        <v>0</v>
      </c>
      <c r="D145" s="43">
        <f>'PCFP-All Expense AA-1 Modifd-10'!J133</f>
        <v>0</v>
      </c>
      <c r="E145" s="487"/>
    </row>
    <row r="146" spans="2:5" hidden="1" x14ac:dyDescent="0.2">
      <c r="B146" t="s">
        <v>251</v>
      </c>
      <c r="C146" s="43">
        <f>'19_20 District Budget Summ-10'!R210</f>
        <v>0</v>
      </c>
      <c r="D146" s="43">
        <f>'PCFP-All Expense AA-1 Modifd-10'!J134</f>
        <v>0</v>
      </c>
      <c r="E146" s="487"/>
    </row>
    <row r="147" spans="2:5" hidden="1" x14ac:dyDescent="0.2">
      <c r="B147" t="s">
        <v>252</v>
      </c>
      <c r="C147" s="43">
        <f>'19_20 District Budget Summ-10'!R211</f>
        <v>0</v>
      </c>
      <c r="D147" s="43">
        <f>'PCFP-All Expense AA-1 Modifd-10'!J135</f>
        <v>0</v>
      </c>
      <c r="E147" s="487"/>
    </row>
    <row r="148" spans="2:5" hidden="1" x14ac:dyDescent="0.2">
      <c r="B148" t="s">
        <v>253</v>
      </c>
      <c r="C148" s="43">
        <f>'19_20 District Budget Summ-10'!R212</f>
        <v>0</v>
      </c>
      <c r="D148" s="43">
        <f>'PCFP-All Expense AA-1 Modifd-10'!J136</f>
        <v>0</v>
      </c>
      <c r="E148" s="487"/>
    </row>
    <row r="149" spans="2:5" hidden="1" x14ac:dyDescent="0.2">
      <c r="B149" t="s">
        <v>254</v>
      </c>
      <c r="C149" s="43">
        <f>'19_20 District Budget Summ-10'!R213</f>
        <v>0</v>
      </c>
      <c r="D149" s="43">
        <f>'PCFP-All Expense AA-1 Modifd-10'!J137</f>
        <v>0</v>
      </c>
      <c r="E149" s="487"/>
    </row>
    <row r="150" spans="2:5" hidden="1" x14ac:dyDescent="0.2">
      <c r="B150" t="s">
        <v>255</v>
      </c>
      <c r="C150" s="43">
        <f>'19_20 District Budget Summ-10'!R214</f>
        <v>0</v>
      </c>
      <c r="D150" s="43">
        <f>'PCFP-All Expense AA-1 Modifd-10'!J138</f>
        <v>0</v>
      </c>
      <c r="E150" s="487"/>
    </row>
    <row r="151" spans="2:5" hidden="1" x14ac:dyDescent="0.2">
      <c r="B151" t="s">
        <v>256</v>
      </c>
      <c r="C151" s="43">
        <f>'19_20 District Budget Summ-10'!R215</f>
        <v>0</v>
      </c>
      <c r="D151" s="43">
        <f>'PCFP-All Expense AA-1 Modifd-10'!J139</f>
        <v>0</v>
      </c>
      <c r="E151" s="487"/>
    </row>
    <row r="152" spans="2:5" hidden="1" x14ac:dyDescent="0.2">
      <c r="B152" t="s">
        <v>257</v>
      </c>
      <c r="C152" s="43">
        <f>'19_20 District Budget Summ-10'!R216</f>
        <v>0</v>
      </c>
      <c r="D152" s="43">
        <f>'PCFP-All Expense AA-1 Modifd-10'!J140</f>
        <v>0</v>
      </c>
      <c r="E152" s="487"/>
    </row>
    <row r="153" spans="2:5" hidden="1" x14ac:dyDescent="0.2">
      <c r="B153" t="s">
        <v>258</v>
      </c>
      <c r="C153" s="43">
        <f>'19_20 District Budget Summ-10'!R217</f>
        <v>0</v>
      </c>
      <c r="D153" s="43">
        <f>'PCFP-All Expense AA-1 Modifd-10'!J141</f>
        <v>0</v>
      </c>
      <c r="E153" s="487"/>
    </row>
    <row r="154" spans="2:5" hidden="1" x14ac:dyDescent="0.2">
      <c r="B154" t="s">
        <v>259</v>
      </c>
      <c r="C154" s="43">
        <f>'19_20 District Budget Summ-10'!R218</f>
        <v>0</v>
      </c>
      <c r="D154" s="43">
        <f>'PCFP-All Expense AA-1 Modifd-10'!J142</f>
        <v>0</v>
      </c>
      <c r="E154" s="487"/>
    </row>
    <row r="155" spans="2:5" hidden="1" x14ac:dyDescent="0.2">
      <c r="B155" t="s">
        <v>260</v>
      </c>
      <c r="C155" s="43">
        <f>'19_20 District Budget Summ-10'!R219</f>
        <v>0</v>
      </c>
      <c r="D155" s="43">
        <f>'PCFP-All Expense AA-1 Modifd-10'!J143</f>
        <v>0</v>
      </c>
      <c r="E155" s="487"/>
    </row>
    <row r="156" spans="2:5" hidden="1" x14ac:dyDescent="0.2">
      <c r="B156" t="str">
        <f>'PCFP-All Expense AA-1 Modifd-10'!B146</f>
        <v>Less:  Interfund Transfers</v>
      </c>
      <c r="C156" s="43">
        <f>'19_20 District Budget Summ-10'!R220</f>
        <v>0</v>
      </c>
      <c r="D156" s="43">
        <f>'PCFP-All Expense AA-1 Modifd-10'!J146</f>
        <v>-1772000</v>
      </c>
      <c r="E156" s="487"/>
    </row>
  </sheetData>
  <pageMargins left="0.7" right="0.7" top="0.75" bottom="0.75" header="0.3" footer="0.3"/>
  <pageSetup scale="9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9C192-BCB3-424D-84C7-EB77137B44DC}">
  <dimension ref="A1:U221"/>
  <sheetViews>
    <sheetView showGridLines="0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20" sqref="K120"/>
    </sheetView>
  </sheetViews>
  <sheetFormatPr defaultRowHeight="12.75" x14ac:dyDescent="0.2"/>
  <cols>
    <col min="1" max="1" width="5.7109375" style="2" bestFit="1" customWidth="1"/>
    <col min="2" max="2" width="41.140625" style="3" bestFit="1" customWidth="1"/>
    <col min="3" max="3" width="18.85546875" style="933" bestFit="1" customWidth="1"/>
    <col min="4" max="4" width="17.140625" style="933" bestFit="1" customWidth="1"/>
    <col min="5" max="5" width="15.28515625" style="933" bestFit="1" customWidth="1"/>
    <col min="6" max="6" width="16" style="933" bestFit="1" customWidth="1"/>
    <col min="7" max="7" width="14.85546875" style="933" bestFit="1" customWidth="1"/>
    <col min="8" max="8" width="16" style="933" bestFit="1" customWidth="1"/>
    <col min="9" max="10" width="17.42578125" style="933" bestFit="1" customWidth="1"/>
    <col min="11" max="11" width="16" style="933" bestFit="1" customWidth="1"/>
    <col min="12" max="12" width="14.42578125" style="933" bestFit="1" customWidth="1"/>
    <col min="13" max="14" width="16" style="933" bestFit="1" customWidth="1"/>
    <col min="15" max="16" width="14.85546875" style="933" bestFit="1" customWidth="1"/>
    <col min="17" max="17" width="18.5703125" style="933" bestFit="1" customWidth="1"/>
    <col min="18" max="18" width="37.85546875" style="3" bestFit="1" customWidth="1"/>
    <col min="19" max="19" width="15.7109375" style="3" bestFit="1" customWidth="1"/>
    <col min="20" max="20" width="15.28515625" hidden="1" customWidth="1"/>
    <col min="21" max="21" width="36" style="520" hidden="1" customWidth="1"/>
    <col min="22" max="22" width="0" hidden="1" customWidth="1"/>
  </cols>
  <sheetData>
    <row r="1" spans="1:21" s="8" customFormat="1" ht="18" x14ac:dyDescent="0.25">
      <c r="A1" s="6"/>
      <c r="B1" s="9" t="s">
        <v>261</v>
      </c>
      <c r="C1" s="535" t="s">
        <v>667</v>
      </c>
      <c r="D1" s="10" t="s">
        <v>119</v>
      </c>
      <c r="E1" s="332" t="s">
        <v>262</v>
      </c>
      <c r="F1" s="333">
        <v>18981466</v>
      </c>
      <c r="G1" s="10"/>
      <c r="H1" s="10"/>
      <c r="I1" s="10"/>
      <c r="J1" s="10"/>
      <c r="L1" s="10"/>
      <c r="M1" s="10"/>
      <c r="N1" s="10"/>
      <c r="O1" s="10"/>
      <c r="P1" s="10"/>
      <c r="U1" s="517"/>
    </row>
    <row r="3" spans="1:21" s="15" customFormat="1" ht="38.25" x14ac:dyDescent="0.2">
      <c r="A3" s="13"/>
      <c r="B3" s="13" t="s">
        <v>120</v>
      </c>
      <c r="C3" s="14" t="s">
        <v>263</v>
      </c>
      <c r="D3" s="14" t="s">
        <v>173</v>
      </c>
      <c r="E3" s="14" t="s">
        <v>185</v>
      </c>
      <c r="F3" s="14" t="s">
        <v>188</v>
      </c>
      <c r="G3" s="14" t="s">
        <v>668</v>
      </c>
      <c r="H3" s="14" t="s">
        <v>206</v>
      </c>
      <c r="I3" s="14" t="s">
        <v>9</v>
      </c>
      <c r="J3" s="14" t="s">
        <v>192</v>
      </c>
      <c r="K3" s="14" t="s">
        <v>265</v>
      </c>
      <c r="L3" s="14" t="s">
        <v>669</v>
      </c>
      <c r="M3" s="14" t="s">
        <v>236</v>
      </c>
      <c r="N3" s="14" t="s">
        <v>204</v>
      </c>
      <c r="O3" s="14" t="s">
        <v>191</v>
      </c>
      <c r="P3" s="14" t="s">
        <v>670</v>
      </c>
      <c r="Q3" s="14" t="s">
        <v>633</v>
      </c>
      <c r="R3" s="14" t="s">
        <v>273</v>
      </c>
      <c r="S3" s="942"/>
      <c r="U3" s="518"/>
    </row>
    <row r="4" spans="1:21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942"/>
      <c r="T4" s="290">
        <f>SUM(T5:T11)</f>
        <v>2605121</v>
      </c>
      <c r="U4" s="292"/>
    </row>
    <row r="5" spans="1:21" s="291" customFormat="1" x14ac:dyDescent="0.2">
      <c r="A5" s="942"/>
      <c r="B5" s="932" t="s">
        <v>274</v>
      </c>
      <c r="C5" s="935">
        <v>1788838</v>
      </c>
      <c r="D5" s="935">
        <v>532119</v>
      </c>
      <c r="E5" s="935">
        <v>0</v>
      </c>
      <c r="F5" s="935">
        <v>0</v>
      </c>
      <c r="G5" s="935">
        <v>0</v>
      </c>
      <c r="H5" s="935">
        <v>0</v>
      </c>
      <c r="I5" s="935">
        <v>0</v>
      </c>
      <c r="J5" s="935">
        <v>0</v>
      </c>
      <c r="K5" s="935">
        <v>0</v>
      </c>
      <c r="L5" s="935">
        <v>0</v>
      </c>
      <c r="M5" s="935">
        <v>0</v>
      </c>
      <c r="N5" s="935">
        <v>0</v>
      </c>
      <c r="O5" s="935">
        <v>0</v>
      </c>
      <c r="P5" s="935">
        <v>0</v>
      </c>
      <c r="Q5" s="935">
        <v>0</v>
      </c>
      <c r="R5" s="935" t="str">
        <f t="shared" ref="R5:R31" si="0">B5</f>
        <v>Property Taxes</v>
      </c>
      <c r="S5" s="939">
        <f t="shared" ref="S5:S31" si="1">SUM(C5:Q5)</f>
        <v>2320957</v>
      </c>
      <c r="T5" s="293">
        <f>S5-D5</f>
        <v>1788838</v>
      </c>
      <c r="U5" s="292" t="s">
        <v>473</v>
      </c>
    </row>
    <row r="6" spans="1:21" s="291" customFormat="1" hidden="1" x14ac:dyDescent="0.2">
      <c r="A6" s="942"/>
      <c r="B6" s="932" t="s">
        <v>474</v>
      </c>
      <c r="C6" s="935">
        <v>0</v>
      </c>
      <c r="D6" s="935">
        <v>0</v>
      </c>
      <c r="E6" s="935">
        <v>0</v>
      </c>
      <c r="F6" s="935">
        <v>0</v>
      </c>
      <c r="G6" s="935">
        <v>0</v>
      </c>
      <c r="H6" s="935">
        <v>0</v>
      </c>
      <c r="I6" s="935">
        <v>0</v>
      </c>
      <c r="J6" s="935">
        <v>0</v>
      </c>
      <c r="K6" s="935">
        <v>0</v>
      </c>
      <c r="L6" s="935">
        <v>0</v>
      </c>
      <c r="M6" s="935">
        <v>0</v>
      </c>
      <c r="N6" s="935">
        <v>0</v>
      </c>
      <c r="O6" s="935">
        <v>0</v>
      </c>
      <c r="P6" s="935">
        <v>0</v>
      </c>
      <c r="Q6" s="935">
        <v>0</v>
      </c>
      <c r="R6" s="935" t="str">
        <f t="shared" si="0"/>
        <v>Net Proceeds from Mines</v>
      </c>
      <c r="S6" s="939">
        <f t="shared" si="1"/>
        <v>0</v>
      </c>
      <c r="T6" s="293">
        <f t="shared" ref="T6:T10" si="2">S6</f>
        <v>0</v>
      </c>
      <c r="U6" s="292" t="s">
        <v>473</v>
      </c>
    </row>
    <row r="7" spans="1:21" s="37" customFormat="1" x14ac:dyDescent="0.2">
      <c r="A7" s="3"/>
      <c r="B7" s="3" t="s">
        <v>276</v>
      </c>
      <c r="C7" s="935">
        <v>463302</v>
      </c>
      <c r="D7" s="935">
        <v>0</v>
      </c>
      <c r="E7" s="935">
        <v>0</v>
      </c>
      <c r="F7" s="935">
        <v>60000</v>
      </c>
      <c r="G7" s="935">
        <v>0</v>
      </c>
      <c r="H7" s="935">
        <v>0</v>
      </c>
      <c r="I7" s="935">
        <v>0</v>
      </c>
      <c r="J7" s="935">
        <v>0</v>
      </c>
      <c r="K7" s="935">
        <v>0</v>
      </c>
      <c r="L7" s="935">
        <v>0</v>
      </c>
      <c r="M7" s="935">
        <v>0</v>
      </c>
      <c r="N7" s="935">
        <v>0</v>
      </c>
      <c r="O7" s="935">
        <v>0</v>
      </c>
      <c r="P7" s="935">
        <v>0</v>
      </c>
      <c r="Q7" s="935">
        <v>0</v>
      </c>
      <c r="R7" s="935" t="str">
        <f t="shared" si="0"/>
        <v>School Support Taxes</v>
      </c>
      <c r="S7" s="939">
        <f t="shared" si="1"/>
        <v>523302</v>
      </c>
      <c r="T7" s="293">
        <f>S7-F7</f>
        <v>463302</v>
      </c>
      <c r="U7" s="519" t="s">
        <v>275</v>
      </c>
    </row>
    <row r="8" spans="1:21" s="37" customFormat="1" hidden="1" x14ac:dyDescent="0.2">
      <c r="A8" s="3"/>
      <c r="B8" s="3" t="s">
        <v>551</v>
      </c>
      <c r="C8" s="935">
        <v>0</v>
      </c>
      <c r="D8" s="935">
        <v>0</v>
      </c>
      <c r="E8" s="935">
        <v>0</v>
      </c>
      <c r="F8" s="935">
        <v>0</v>
      </c>
      <c r="G8" s="935">
        <v>0</v>
      </c>
      <c r="H8" s="935">
        <v>0</v>
      </c>
      <c r="I8" s="935">
        <v>0</v>
      </c>
      <c r="J8" s="935">
        <v>0</v>
      </c>
      <c r="K8" s="935">
        <v>0</v>
      </c>
      <c r="L8" s="935">
        <v>0</v>
      </c>
      <c r="M8" s="935">
        <v>0</v>
      </c>
      <c r="N8" s="935">
        <v>0</v>
      </c>
      <c r="O8" s="935">
        <v>0</v>
      </c>
      <c r="P8" s="935">
        <v>0</v>
      </c>
      <c r="Q8" s="935">
        <v>0</v>
      </c>
      <c r="R8" s="935" t="str">
        <f t="shared" si="0"/>
        <v>Real Estate Transfer Tax</v>
      </c>
      <c r="S8" s="939">
        <f t="shared" si="1"/>
        <v>0</v>
      </c>
      <c r="T8" s="293"/>
      <c r="U8" s="519"/>
    </row>
    <row r="9" spans="1:21" s="37" customFormat="1" hidden="1" x14ac:dyDescent="0.2">
      <c r="A9" s="3"/>
      <c r="B9" s="3" t="s">
        <v>550</v>
      </c>
      <c r="C9" s="935">
        <v>0</v>
      </c>
      <c r="D9" s="935">
        <v>0</v>
      </c>
      <c r="E9" s="935">
        <v>0</v>
      </c>
      <c r="F9" s="935">
        <v>0</v>
      </c>
      <c r="G9" s="935">
        <v>0</v>
      </c>
      <c r="H9" s="935">
        <v>0</v>
      </c>
      <c r="I9" s="935">
        <v>0</v>
      </c>
      <c r="J9" s="935">
        <v>0</v>
      </c>
      <c r="K9" s="935">
        <v>0</v>
      </c>
      <c r="L9" s="935">
        <v>0</v>
      </c>
      <c r="M9" s="935">
        <v>0</v>
      </c>
      <c r="N9" s="935">
        <v>0</v>
      </c>
      <c r="O9" s="935">
        <v>0</v>
      </c>
      <c r="P9" s="935">
        <v>0</v>
      </c>
      <c r="Q9" s="935">
        <v>0</v>
      </c>
      <c r="R9" s="935" t="str">
        <f t="shared" si="0"/>
        <v>Room Tax</v>
      </c>
      <c r="S9" s="939">
        <f t="shared" si="1"/>
        <v>0</v>
      </c>
      <c r="T9" s="293">
        <f t="shared" si="2"/>
        <v>0</v>
      </c>
      <c r="U9" s="519" t="s">
        <v>275</v>
      </c>
    </row>
    <row r="10" spans="1:21" s="37" customFormat="1" hidden="1" x14ac:dyDescent="0.2">
      <c r="A10" s="3"/>
      <c r="B10" s="3" t="s">
        <v>277</v>
      </c>
      <c r="C10" s="935">
        <v>0</v>
      </c>
      <c r="D10" s="935">
        <v>0</v>
      </c>
      <c r="E10" s="935">
        <v>0</v>
      </c>
      <c r="F10" s="935">
        <v>0</v>
      </c>
      <c r="G10" s="935">
        <v>0</v>
      </c>
      <c r="H10" s="935">
        <v>0</v>
      </c>
      <c r="I10" s="935">
        <v>0</v>
      </c>
      <c r="J10" s="935">
        <v>0</v>
      </c>
      <c r="K10" s="935">
        <v>0</v>
      </c>
      <c r="L10" s="935">
        <v>0</v>
      </c>
      <c r="M10" s="935">
        <v>0</v>
      </c>
      <c r="N10" s="935">
        <v>0</v>
      </c>
      <c r="O10" s="935">
        <v>0</v>
      </c>
      <c r="P10" s="935">
        <v>0</v>
      </c>
      <c r="Q10" s="935">
        <v>0</v>
      </c>
      <c r="R10" s="935" t="str">
        <f t="shared" si="0"/>
        <v>Franchise Taxes</v>
      </c>
      <c r="S10" s="939">
        <f t="shared" si="1"/>
        <v>0</v>
      </c>
      <c r="T10" s="293">
        <f t="shared" si="2"/>
        <v>0</v>
      </c>
      <c r="U10" s="519" t="s">
        <v>275</v>
      </c>
    </row>
    <row r="11" spans="1:21" s="37" customFormat="1" x14ac:dyDescent="0.2">
      <c r="A11" s="3"/>
      <c r="B11" s="3" t="s">
        <v>278</v>
      </c>
      <c r="C11" s="935">
        <v>352981</v>
      </c>
      <c r="D11" s="935">
        <v>0</v>
      </c>
      <c r="E11" s="935">
        <v>0</v>
      </c>
      <c r="F11" s="935">
        <v>105894</v>
      </c>
      <c r="G11" s="935">
        <v>0</v>
      </c>
      <c r="H11" s="935">
        <v>0</v>
      </c>
      <c r="I11" s="935">
        <v>0</v>
      </c>
      <c r="J11" s="935">
        <v>0</v>
      </c>
      <c r="K11" s="935">
        <v>0</v>
      </c>
      <c r="L11" s="935">
        <v>0</v>
      </c>
      <c r="M11" s="935">
        <v>0</v>
      </c>
      <c r="N11" s="935">
        <v>0</v>
      </c>
      <c r="O11" s="935">
        <v>0</v>
      </c>
      <c r="P11" s="935">
        <v>0</v>
      </c>
      <c r="Q11" s="935">
        <v>0</v>
      </c>
      <c r="R11" s="935" t="str">
        <f t="shared" si="0"/>
        <v>Governmental Services Tax</v>
      </c>
      <c r="S11" s="939">
        <f t="shared" si="1"/>
        <v>458875</v>
      </c>
      <c r="T11" s="293">
        <f>S11-F11</f>
        <v>352981</v>
      </c>
      <c r="U11" s="519" t="s">
        <v>279</v>
      </c>
    </row>
    <row r="12" spans="1:21" s="37" customFormat="1" x14ac:dyDescent="0.2">
      <c r="A12" s="3"/>
      <c r="B12" s="3" t="s">
        <v>338</v>
      </c>
      <c r="C12" s="935">
        <v>0</v>
      </c>
      <c r="D12" s="935">
        <f>500+32000</f>
        <v>32500</v>
      </c>
      <c r="E12" s="935">
        <v>0</v>
      </c>
      <c r="F12" s="935">
        <v>0</v>
      </c>
      <c r="G12" s="935">
        <v>0</v>
      </c>
      <c r="H12" s="935">
        <v>0</v>
      </c>
      <c r="I12" s="935">
        <v>0</v>
      </c>
      <c r="J12" s="935">
        <v>0</v>
      </c>
      <c r="K12" s="935">
        <v>0</v>
      </c>
      <c r="L12" s="935">
        <v>0</v>
      </c>
      <c r="M12" s="935">
        <v>0</v>
      </c>
      <c r="N12" s="935">
        <v>0</v>
      </c>
      <c r="O12" s="935">
        <v>0</v>
      </c>
      <c r="P12" s="935">
        <v>0</v>
      </c>
      <c r="Q12" s="935">
        <v>0</v>
      </c>
      <c r="R12" s="935" t="str">
        <f t="shared" si="0"/>
        <v>Other Taxes</v>
      </c>
      <c r="S12" s="939">
        <f t="shared" si="1"/>
        <v>32500</v>
      </c>
      <c r="U12" s="519"/>
    </row>
    <row r="13" spans="1:21" s="37" customFormat="1" hidden="1" x14ac:dyDescent="0.2">
      <c r="A13" s="3"/>
      <c r="B13" s="3" t="s">
        <v>281</v>
      </c>
      <c r="C13" s="935">
        <v>0</v>
      </c>
      <c r="D13" s="935">
        <v>0</v>
      </c>
      <c r="E13" s="935">
        <v>0</v>
      </c>
      <c r="F13" s="935">
        <v>0</v>
      </c>
      <c r="G13" s="935">
        <v>0</v>
      </c>
      <c r="H13" s="935">
        <v>0</v>
      </c>
      <c r="I13" s="935">
        <v>0</v>
      </c>
      <c r="J13" s="935">
        <v>0</v>
      </c>
      <c r="K13" s="935">
        <v>0</v>
      </c>
      <c r="L13" s="935">
        <v>0</v>
      </c>
      <c r="M13" s="935">
        <v>0</v>
      </c>
      <c r="N13" s="935">
        <v>0</v>
      </c>
      <c r="O13" s="935">
        <v>0</v>
      </c>
      <c r="P13" s="935">
        <v>0</v>
      </c>
      <c r="Q13" s="935">
        <v>0</v>
      </c>
      <c r="R13" s="935" t="str">
        <f t="shared" si="0"/>
        <v>Boat Registration</v>
      </c>
      <c r="S13" s="939">
        <f t="shared" si="1"/>
        <v>0</v>
      </c>
      <c r="U13" s="519"/>
    </row>
    <row r="14" spans="1:21" s="37" customFormat="1" hidden="1" x14ac:dyDescent="0.2">
      <c r="A14" s="3"/>
      <c r="B14" s="3" t="s">
        <v>227</v>
      </c>
      <c r="C14" s="935">
        <v>0</v>
      </c>
      <c r="D14" s="935">
        <v>0</v>
      </c>
      <c r="E14" s="935">
        <v>0</v>
      </c>
      <c r="F14" s="935">
        <v>0</v>
      </c>
      <c r="G14" s="935">
        <v>0</v>
      </c>
      <c r="H14" s="935">
        <v>0</v>
      </c>
      <c r="I14" s="935">
        <v>0</v>
      </c>
      <c r="J14" s="935">
        <v>0</v>
      </c>
      <c r="K14" s="935">
        <v>0</v>
      </c>
      <c r="L14" s="935">
        <v>0</v>
      </c>
      <c r="M14" s="935">
        <v>0</v>
      </c>
      <c r="N14" s="935">
        <v>0</v>
      </c>
      <c r="O14" s="935">
        <v>0</v>
      </c>
      <c r="P14" s="935">
        <v>0</v>
      </c>
      <c r="Q14" s="935">
        <v>0</v>
      </c>
      <c r="R14" s="935" t="str">
        <f t="shared" si="0"/>
        <v>Residential Construction Tax</v>
      </c>
      <c r="S14" s="939">
        <f t="shared" si="1"/>
        <v>0</v>
      </c>
      <c r="U14" s="519"/>
    </row>
    <row r="15" spans="1:21" s="37" customFormat="1" hidden="1" x14ac:dyDescent="0.2">
      <c r="A15" s="3"/>
      <c r="B15" s="3" t="s">
        <v>282</v>
      </c>
      <c r="C15" s="935">
        <v>0</v>
      </c>
      <c r="D15" s="935">
        <v>0</v>
      </c>
      <c r="E15" s="935">
        <v>0</v>
      </c>
      <c r="F15" s="935">
        <v>0</v>
      </c>
      <c r="G15" s="935">
        <v>0</v>
      </c>
      <c r="H15" s="935">
        <v>0</v>
      </c>
      <c r="I15" s="935">
        <v>0</v>
      </c>
      <c r="J15" s="935">
        <v>0</v>
      </c>
      <c r="K15" s="935">
        <v>0</v>
      </c>
      <c r="L15" s="935">
        <v>0</v>
      </c>
      <c r="M15" s="935">
        <v>0</v>
      </c>
      <c r="N15" s="935">
        <v>0</v>
      </c>
      <c r="O15" s="935">
        <v>0</v>
      </c>
      <c r="P15" s="935">
        <v>0</v>
      </c>
      <c r="Q15" s="935">
        <v>0</v>
      </c>
      <c r="R15" s="935" t="str">
        <f t="shared" si="0"/>
        <v>Tuition</v>
      </c>
      <c r="S15" s="939">
        <f t="shared" si="1"/>
        <v>0</v>
      </c>
      <c r="U15" s="519"/>
    </row>
    <row r="16" spans="1:21" s="37" customFormat="1" hidden="1" x14ac:dyDescent="0.2">
      <c r="A16" s="3"/>
      <c r="B16" s="3" t="s">
        <v>143</v>
      </c>
      <c r="C16" s="935">
        <v>0</v>
      </c>
      <c r="D16" s="935">
        <v>0</v>
      </c>
      <c r="E16" s="935">
        <v>0</v>
      </c>
      <c r="F16" s="935">
        <v>0</v>
      </c>
      <c r="G16" s="935">
        <v>0</v>
      </c>
      <c r="H16" s="935">
        <v>0</v>
      </c>
      <c r="I16" s="935">
        <v>0</v>
      </c>
      <c r="J16" s="935">
        <v>0</v>
      </c>
      <c r="K16" s="935">
        <v>0</v>
      </c>
      <c r="L16" s="935">
        <v>0</v>
      </c>
      <c r="M16" s="935">
        <v>0</v>
      </c>
      <c r="N16" s="935">
        <v>0</v>
      </c>
      <c r="O16" s="935">
        <v>0</v>
      </c>
      <c r="P16" s="935">
        <v>0</v>
      </c>
      <c r="Q16" s="935">
        <v>0</v>
      </c>
      <c r="R16" s="935" t="str">
        <f t="shared" si="0"/>
        <v>Summer School</v>
      </c>
      <c r="S16" s="939">
        <f t="shared" si="1"/>
        <v>0</v>
      </c>
      <c r="U16" s="519"/>
    </row>
    <row r="17" spans="1:21" s="37" customFormat="1" hidden="1" x14ac:dyDescent="0.2">
      <c r="A17" s="3"/>
      <c r="B17" s="3" t="s">
        <v>283</v>
      </c>
      <c r="C17" s="935">
        <v>0</v>
      </c>
      <c r="D17" s="935">
        <v>0</v>
      </c>
      <c r="E17" s="935">
        <v>0</v>
      </c>
      <c r="F17" s="935">
        <v>0</v>
      </c>
      <c r="G17" s="935">
        <v>0</v>
      </c>
      <c r="H17" s="935">
        <v>0</v>
      </c>
      <c r="I17" s="935">
        <v>0</v>
      </c>
      <c r="J17" s="935">
        <v>0</v>
      </c>
      <c r="K17" s="935">
        <v>0</v>
      </c>
      <c r="L17" s="935">
        <v>0</v>
      </c>
      <c r="M17" s="935">
        <v>0</v>
      </c>
      <c r="N17" s="935">
        <v>0</v>
      </c>
      <c r="O17" s="935">
        <v>0</v>
      </c>
      <c r="P17" s="935">
        <v>0</v>
      </c>
      <c r="Q17" s="935">
        <v>0</v>
      </c>
      <c r="R17" s="935" t="str">
        <f t="shared" si="0"/>
        <v>Transportation Fees</v>
      </c>
      <c r="S17" s="939">
        <f t="shared" si="1"/>
        <v>0</v>
      </c>
      <c r="U17" s="519"/>
    </row>
    <row r="18" spans="1:21" s="37" customFormat="1" x14ac:dyDescent="0.2">
      <c r="A18" s="3"/>
      <c r="B18" s="3" t="s">
        <v>284</v>
      </c>
      <c r="C18" s="935">
        <v>100</v>
      </c>
      <c r="D18" s="935">
        <v>100</v>
      </c>
      <c r="E18" s="935">
        <v>100</v>
      </c>
      <c r="F18" s="935">
        <v>1000</v>
      </c>
      <c r="G18" s="935">
        <v>0</v>
      </c>
      <c r="H18" s="935">
        <v>0</v>
      </c>
      <c r="I18" s="935">
        <v>0</v>
      </c>
      <c r="J18" s="935">
        <v>321760</v>
      </c>
      <c r="K18" s="935">
        <v>0</v>
      </c>
      <c r="L18" s="935">
        <v>0</v>
      </c>
      <c r="M18" s="935">
        <v>0</v>
      </c>
      <c r="N18" s="935">
        <v>0</v>
      </c>
      <c r="O18" s="935">
        <v>0</v>
      </c>
      <c r="P18" s="935">
        <v>0</v>
      </c>
      <c r="Q18" s="935">
        <v>0</v>
      </c>
      <c r="R18" s="935" t="str">
        <f t="shared" si="0"/>
        <v>Earnings on Investments</v>
      </c>
      <c r="S18" s="939">
        <f t="shared" si="1"/>
        <v>323060</v>
      </c>
      <c r="U18" s="519"/>
    </row>
    <row r="19" spans="1:21" s="37" customFormat="1" hidden="1" x14ac:dyDescent="0.2">
      <c r="A19" s="3"/>
      <c r="B19" s="3" t="s">
        <v>651</v>
      </c>
      <c r="C19" s="935">
        <v>0</v>
      </c>
      <c r="D19" s="935">
        <v>0</v>
      </c>
      <c r="E19" s="935">
        <v>0</v>
      </c>
      <c r="F19" s="935">
        <v>0</v>
      </c>
      <c r="G19" s="935">
        <v>0</v>
      </c>
      <c r="H19" s="935">
        <v>0</v>
      </c>
      <c r="I19" s="935">
        <v>0</v>
      </c>
      <c r="J19" s="935">
        <v>0</v>
      </c>
      <c r="K19" s="935">
        <v>0</v>
      </c>
      <c r="L19" s="935">
        <v>0</v>
      </c>
      <c r="M19" s="935">
        <v>0</v>
      </c>
      <c r="N19" s="935">
        <v>0</v>
      </c>
      <c r="O19" s="935">
        <v>0</v>
      </c>
      <c r="P19" s="935">
        <v>0</v>
      </c>
      <c r="Q19" s="935">
        <v>0</v>
      </c>
      <c r="R19" s="935" t="str">
        <f t="shared" si="0"/>
        <v>Interest</v>
      </c>
      <c r="S19" s="939">
        <f t="shared" si="1"/>
        <v>0</v>
      </c>
      <c r="U19" s="519"/>
    </row>
    <row r="20" spans="1:21" s="37" customFormat="1" hidden="1" x14ac:dyDescent="0.2">
      <c r="A20" s="3"/>
      <c r="B20" s="3" t="s">
        <v>652</v>
      </c>
      <c r="C20" s="935">
        <v>0</v>
      </c>
      <c r="D20" s="935">
        <v>0</v>
      </c>
      <c r="E20" s="935">
        <v>0</v>
      </c>
      <c r="F20" s="935">
        <v>0</v>
      </c>
      <c r="G20" s="935">
        <v>0</v>
      </c>
      <c r="H20" s="935">
        <v>0</v>
      </c>
      <c r="I20" s="935">
        <v>0</v>
      </c>
      <c r="J20" s="935">
        <v>0</v>
      </c>
      <c r="K20" s="935">
        <v>0</v>
      </c>
      <c r="L20" s="935">
        <v>0</v>
      </c>
      <c r="M20" s="935">
        <v>0</v>
      </c>
      <c r="N20" s="935">
        <v>0</v>
      </c>
      <c r="O20" s="935">
        <v>0</v>
      </c>
      <c r="P20" s="935">
        <v>0</v>
      </c>
      <c r="Q20" s="935">
        <v>0</v>
      </c>
      <c r="R20" s="935" t="str">
        <f t="shared" si="0"/>
        <v>Dividends</v>
      </c>
      <c r="S20" s="939">
        <f t="shared" si="1"/>
        <v>0</v>
      </c>
      <c r="U20" s="519"/>
    </row>
    <row r="21" spans="1:21" s="37" customFormat="1" hidden="1" x14ac:dyDescent="0.2">
      <c r="A21" s="3"/>
      <c r="B21" s="3" t="s">
        <v>653</v>
      </c>
      <c r="C21" s="935">
        <v>0</v>
      </c>
      <c r="D21" s="935">
        <v>0</v>
      </c>
      <c r="E21" s="935">
        <v>0</v>
      </c>
      <c r="F21" s="935">
        <v>0</v>
      </c>
      <c r="G21" s="935">
        <v>0</v>
      </c>
      <c r="H21" s="935">
        <v>0</v>
      </c>
      <c r="I21" s="935">
        <v>0</v>
      </c>
      <c r="J21" s="935">
        <v>0</v>
      </c>
      <c r="K21" s="935">
        <v>0</v>
      </c>
      <c r="L21" s="935">
        <v>0</v>
      </c>
      <c r="M21" s="935">
        <v>0</v>
      </c>
      <c r="N21" s="935">
        <v>0</v>
      </c>
      <c r="O21" s="935">
        <v>0</v>
      </c>
      <c r="P21" s="935">
        <v>0</v>
      </c>
      <c r="Q21" s="935">
        <v>0</v>
      </c>
      <c r="R21" s="935" t="str">
        <f t="shared" si="0"/>
        <v>Unrealized Gain/Losses</v>
      </c>
      <c r="S21" s="939">
        <f t="shared" si="1"/>
        <v>0</v>
      </c>
      <c r="U21" s="519"/>
    </row>
    <row r="22" spans="1:21" s="37" customFormat="1" hidden="1" x14ac:dyDescent="0.2">
      <c r="A22" s="3"/>
      <c r="B22" s="3" t="s">
        <v>654</v>
      </c>
      <c r="C22" s="935">
        <v>0</v>
      </c>
      <c r="D22" s="935">
        <v>0</v>
      </c>
      <c r="E22" s="935">
        <v>0</v>
      </c>
      <c r="F22" s="935">
        <v>0</v>
      </c>
      <c r="G22" s="935">
        <v>0</v>
      </c>
      <c r="H22" s="935">
        <v>0</v>
      </c>
      <c r="I22" s="935">
        <v>0</v>
      </c>
      <c r="J22" s="935">
        <v>0</v>
      </c>
      <c r="K22" s="935">
        <v>0</v>
      </c>
      <c r="L22" s="935">
        <v>0</v>
      </c>
      <c r="M22" s="935">
        <v>0</v>
      </c>
      <c r="N22" s="935">
        <v>0</v>
      </c>
      <c r="O22" s="935">
        <v>0</v>
      </c>
      <c r="P22" s="935">
        <v>0</v>
      </c>
      <c r="Q22" s="935">
        <v>0</v>
      </c>
      <c r="R22" s="935" t="str">
        <f t="shared" si="0"/>
        <v>After School Program Fees</v>
      </c>
      <c r="S22" s="939">
        <f t="shared" si="1"/>
        <v>0</v>
      </c>
      <c r="U22" s="519"/>
    </row>
    <row r="23" spans="1:21" s="37" customFormat="1" hidden="1" x14ac:dyDescent="0.2">
      <c r="A23" s="3"/>
      <c r="B23" s="3" t="s">
        <v>552</v>
      </c>
      <c r="C23" s="935">
        <v>0</v>
      </c>
      <c r="D23" s="935">
        <v>0</v>
      </c>
      <c r="E23" s="935">
        <v>0</v>
      </c>
      <c r="F23" s="935">
        <v>0</v>
      </c>
      <c r="G23" s="935">
        <v>0</v>
      </c>
      <c r="H23" s="935">
        <v>0</v>
      </c>
      <c r="I23" s="935">
        <v>0</v>
      </c>
      <c r="J23" s="935">
        <v>0</v>
      </c>
      <c r="K23" s="935">
        <v>0</v>
      </c>
      <c r="L23" s="935">
        <v>0</v>
      </c>
      <c r="M23" s="935">
        <v>0</v>
      </c>
      <c r="N23" s="935">
        <v>0</v>
      </c>
      <c r="O23" s="935">
        <v>0</v>
      </c>
      <c r="P23" s="935">
        <v>0</v>
      </c>
      <c r="Q23" s="935">
        <v>0</v>
      </c>
      <c r="R23" s="935" t="str">
        <f t="shared" si="0"/>
        <v>Direct District Activities Revenue</v>
      </c>
      <c r="S23" s="939">
        <f t="shared" si="1"/>
        <v>0</v>
      </c>
      <c r="U23" s="519"/>
    </row>
    <row r="24" spans="1:21" s="37" customFormat="1" x14ac:dyDescent="0.2">
      <c r="A24" s="3"/>
      <c r="B24" s="3" t="s">
        <v>286</v>
      </c>
      <c r="C24" s="935">
        <v>0</v>
      </c>
      <c r="D24" s="935">
        <v>0</v>
      </c>
      <c r="E24" s="935">
        <v>0</v>
      </c>
      <c r="F24" s="935">
        <v>0</v>
      </c>
      <c r="G24" s="935">
        <v>0</v>
      </c>
      <c r="H24" s="935">
        <v>70000</v>
      </c>
      <c r="I24" s="935">
        <v>0</v>
      </c>
      <c r="J24" s="935">
        <v>0</v>
      </c>
      <c r="K24" s="935">
        <v>0</v>
      </c>
      <c r="L24" s="935">
        <v>0</v>
      </c>
      <c r="M24" s="935">
        <v>0</v>
      </c>
      <c r="N24" s="935">
        <v>0</v>
      </c>
      <c r="O24" s="935">
        <v>0</v>
      </c>
      <c r="P24" s="935">
        <v>0</v>
      </c>
      <c r="Q24" s="935">
        <v>0</v>
      </c>
      <c r="R24" s="935" t="str">
        <f t="shared" si="0"/>
        <v>Daily Sales - Food Services</v>
      </c>
      <c r="S24" s="939">
        <f t="shared" si="1"/>
        <v>70000</v>
      </c>
      <c r="U24" s="519"/>
    </row>
    <row r="25" spans="1:21" s="37" customFormat="1" x14ac:dyDescent="0.2">
      <c r="A25" s="3">
        <v>1900</v>
      </c>
      <c r="B25" s="3" t="s">
        <v>280</v>
      </c>
      <c r="C25" s="935">
        <v>10000</v>
      </c>
      <c r="D25" s="935">
        <v>0</v>
      </c>
      <c r="E25" s="935">
        <v>0</v>
      </c>
      <c r="F25" s="935">
        <v>0</v>
      </c>
      <c r="G25" s="935">
        <v>0</v>
      </c>
      <c r="H25" s="935">
        <v>0</v>
      </c>
      <c r="I25" s="935">
        <v>0</v>
      </c>
      <c r="J25" s="935">
        <v>0</v>
      </c>
      <c r="K25" s="935">
        <v>0</v>
      </c>
      <c r="L25" s="935">
        <v>0</v>
      </c>
      <c r="M25" s="935">
        <v>0</v>
      </c>
      <c r="N25" s="935">
        <v>0</v>
      </c>
      <c r="O25" s="935">
        <v>0</v>
      </c>
      <c r="P25" s="935">
        <v>0</v>
      </c>
      <c r="Q25" s="935">
        <v>0</v>
      </c>
      <c r="R25" s="935" t="str">
        <f t="shared" si="0"/>
        <v>Other Revenues</v>
      </c>
      <c r="S25" s="939">
        <f t="shared" si="1"/>
        <v>10000</v>
      </c>
      <c r="U25" s="519"/>
    </row>
    <row r="26" spans="1:21" s="37" customFormat="1" hidden="1" x14ac:dyDescent="0.2">
      <c r="A26" s="3"/>
      <c r="B26" s="3" t="s">
        <v>288</v>
      </c>
      <c r="C26" s="935">
        <v>0</v>
      </c>
      <c r="D26" s="935">
        <v>0</v>
      </c>
      <c r="E26" s="935">
        <v>0</v>
      </c>
      <c r="F26" s="935">
        <v>0</v>
      </c>
      <c r="G26" s="935">
        <v>0</v>
      </c>
      <c r="H26" s="935">
        <v>0</v>
      </c>
      <c r="I26" s="935">
        <v>0</v>
      </c>
      <c r="J26" s="935">
        <v>0</v>
      </c>
      <c r="K26" s="935">
        <v>0</v>
      </c>
      <c r="L26" s="935">
        <v>0</v>
      </c>
      <c r="M26" s="935">
        <v>0</v>
      </c>
      <c r="N26" s="935">
        <v>0</v>
      </c>
      <c r="O26" s="935">
        <v>0</v>
      </c>
      <c r="P26" s="935">
        <v>0</v>
      </c>
      <c r="Q26" s="935">
        <v>0</v>
      </c>
      <c r="R26" s="935" t="str">
        <f t="shared" si="0"/>
        <v>Donations</v>
      </c>
      <c r="S26" s="939">
        <f t="shared" si="1"/>
        <v>0</v>
      </c>
      <c r="U26" s="519"/>
    </row>
    <row r="27" spans="1:21" s="37" customFormat="1" x14ac:dyDescent="0.2">
      <c r="A27" s="3"/>
      <c r="B27" s="3" t="s">
        <v>287</v>
      </c>
      <c r="C27" s="935">
        <v>100</v>
      </c>
      <c r="D27" s="935">
        <v>0</v>
      </c>
      <c r="E27" s="935">
        <v>0</v>
      </c>
      <c r="F27" s="935">
        <v>0</v>
      </c>
      <c r="G27" s="935">
        <v>0</v>
      </c>
      <c r="H27" s="935">
        <v>0</v>
      </c>
      <c r="I27" s="935">
        <v>0</v>
      </c>
      <c r="J27" s="935">
        <v>0</v>
      </c>
      <c r="K27" s="935">
        <v>0</v>
      </c>
      <c r="L27" s="935">
        <v>0</v>
      </c>
      <c r="M27" s="935">
        <v>0</v>
      </c>
      <c r="N27" s="935">
        <v>0</v>
      </c>
      <c r="O27" s="935">
        <v>0</v>
      </c>
      <c r="P27" s="935">
        <v>0</v>
      </c>
      <c r="Q27" s="935">
        <v>0</v>
      </c>
      <c r="R27" s="935" t="str">
        <f t="shared" si="0"/>
        <v>Rentals</v>
      </c>
      <c r="S27" s="939">
        <f t="shared" si="1"/>
        <v>100</v>
      </c>
      <c r="U27" s="519"/>
    </row>
    <row r="28" spans="1:21" s="37" customFormat="1" hidden="1" x14ac:dyDescent="0.2">
      <c r="A28" s="3"/>
      <c r="B28" s="3" t="s">
        <v>598</v>
      </c>
      <c r="C28" s="935">
        <v>0</v>
      </c>
      <c r="D28" s="935">
        <v>0</v>
      </c>
      <c r="E28" s="935">
        <v>0</v>
      </c>
      <c r="F28" s="935">
        <v>0</v>
      </c>
      <c r="G28" s="935">
        <v>0</v>
      </c>
      <c r="H28" s="935">
        <v>0</v>
      </c>
      <c r="I28" s="935">
        <v>0</v>
      </c>
      <c r="J28" s="935">
        <v>0</v>
      </c>
      <c r="K28" s="935">
        <v>0</v>
      </c>
      <c r="L28" s="935">
        <v>0</v>
      </c>
      <c r="M28" s="935">
        <v>0</v>
      </c>
      <c r="N28" s="935">
        <v>0</v>
      </c>
      <c r="O28" s="935">
        <v>0</v>
      </c>
      <c r="P28" s="935">
        <v>0</v>
      </c>
      <c r="Q28" s="935">
        <v>0</v>
      </c>
      <c r="R28" s="935" t="str">
        <f t="shared" si="0"/>
        <v>Services Provided Other Govts</v>
      </c>
      <c r="S28" s="939">
        <f t="shared" si="1"/>
        <v>0</v>
      </c>
      <c r="U28" s="519"/>
    </row>
    <row r="29" spans="1:21" s="37" customFormat="1" hidden="1" x14ac:dyDescent="0.2">
      <c r="A29" s="3"/>
      <c r="B29" s="3" t="s">
        <v>289</v>
      </c>
      <c r="C29" s="935">
        <v>0</v>
      </c>
      <c r="D29" s="935">
        <v>0</v>
      </c>
      <c r="E29" s="935">
        <v>0</v>
      </c>
      <c r="F29" s="935">
        <v>0</v>
      </c>
      <c r="G29" s="935">
        <v>0</v>
      </c>
      <c r="H29" s="935">
        <v>0</v>
      </c>
      <c r="I29" s="935">
        <v>0</v>
      </c>
      <c r="J29" s="935">
        <v>0</v>
      </c>
      <c r="K29" s="935">
        <v>0</v>
      </c>
      <c r="L29" s="935">
        <v>0</v>
      </c>
      <c r="M29" s="935">
        <v>0</v>
      </c>
      <c r="N29" s="935">
        <v>0</v>
      </c>
      <c r="O29" s="935">
        <v>0</v>
      </c>
      <c r="P29" s="935">
        <v>0</v>
      </c>
      <c r="Q29" s="935">
        <v>0</v>
      </c>
      <c r="R29" s="935" t="str">
        <f t="shared" si="0"/>
        <v>Miscellaneous</v>
      </c>
      <c r="S29" s="939">
        <f t="shared" si="1"/>
        <v>0</v>
      </c>
      <c r="U29" s="519"/>
    </row>
    <row r="30" spans="1:21" s="37" customFormat="1" hidden="1" x14ac:dyDescent="0.2">
      <c r="A30" s="3"/>
      <c r="B30" s="3" t="s">
        <v>656</v>
      </c>
      <c r="C30" s="935">
        <v>0</v>
      </c>
      <c r="D30" s="935">
        <v>0</v>
      </c>
      <c r="E30" s="935">
        <v>0</v>
      </c>
      <c r="F30" s="935">
        <v>0</v>
      </c>
      <c r="G30" s="935">
        <v>0</v>
      </c>
      <c r="H30" s="935">
        <v>0</v>
      </c>
      <c r="I30" s="935">
        <v>0</v>
      </c>
      <c r="J30" s="935">
        <v>0</v>
      </c>
      <c r="K30" s="935">
        <v>0</v>
      </c>
      <c r="L30" s="935">
        <v>0</v>
      </c>
      <c r="M30" s="935">
        <v>0</v>
      </c>
      <c r="N30" s="935">
        <v>0</v>
      </c>
      <c r="O30" s="935">
        <v>0</v>
      </c>
      <c r="P30" s="935">
        <v>0</v>
      </c>
      <c r="Q30" s="935">
        <v>0</v>
      </c>
      <c r="R30" s="935" t="str">
        <f t="shared" si="0"/>
        <v>Use of Buildings</v>
      </c>
      <c r="S30" s="939">
        <f t="shared" si="1"/>
        <v>0</v>
      </c>
      <c r="U30" s="519"/>
    </row>
    <row r="31" spans="1:21" s="37" customFormat="1" hidden="1" x14ac:dyDescent="0.2">
      <c r="A31" s="3"/>
      <c r="B31" s="3" t="s">
        <v>290</v>
      </c>
      <c r="C31" s="935">
        <v>0</v>
      </c>
      <c r="D31" s="935">
        <v>0</v>
      </c>
      <c r="E31" s="935">
        <v>0</v>
      </c>
      <c r="F31" s="935">
        <v>0</v>
      </c>
      <c r="G31" s="935">
        <v>0</v>
      </c>
      <c r="H31" s="935">
        <v>0</v>
      </c>
      <c r="I31" s="935">
        <v>0</v>
      </c>
      <c r="J31" s="935">
        <v>0</v>
      </c>
      <c r="K31" s="935">
        <v>0</v>
      </c>
      <c r="L31" s="935">
        <v>0</v>
      </c>
      <c r="M31" s="935">
        <v>0</v>
      </c>
      <c r="N31" s="935">
        <v>0</v>
      </c>
      <c r="O31" s="935">
        <v>0</v>
      </c>
      <c r="P31" s="935">
        <v>0</v>
      </c>
      <c r="Q31" s="935">
        <v>0</v>
      </c>
      <c r="R31" s="935" t="str">
        <f t="shared" si="0"/>
        <v>Indirect Costs</v>
      </c>
      <c r="S31" s="939">
        <f t="shared" si="1"/>
        <v>0</v>
      </c>
      <c r="U31" s="519"/>
    </row>
    <row r="32" spans="1:21" hidden="1" x14ac:dyDescent="0.2"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05"/>
      <c r="S32" s="905"/>
    </row>
    <row r="33" spans="1:21" s="2" customFormat="1" x14ac:dyDescent="0.2">
      <c r="B33" s="39" t="s">
        <v>124</v>
      </c>
      <c r="C33" s="931">
        <f>SUM(C4:C32)</f>
        <v>2615321</v>
      </c>
      <c r="D33" s="931">
        <f t="shared" ref="D33:Q33" si="3">SUM(D4:D32)</f>
        <v>564719</v>
      </c>
      <c r="E33" s="931">
        <f t="shared" si="3"/>
        <v>100</v>
      </c>
      <c r="F33" s="931">
        <f t="shared" si="3"/>
        <v>166894</v>
      </c>
      <c r="G33" s="931">
        <f t="shared" si="3"/>
        <v>0</v>
      </c>
      <c r="H33" s="931">
        <f t="shared" si="3"/>
        <v>70000</v>
      </c>
      <c r="I33" s="931">
        <f t="shared" si="3"/>
        <v>0</v>
      </c>
      <c r="J33" s="931">
        <f t="shared" si="3"/>
        <v>321760</v>
      </c>
      <c r="K33" s="931">
        <f t="shared" si="3"/>
        <v>0</v>
      </c>
      <c r="L33" s="931">
        <f t="shared" si="3"/>
        <v>0</v>
      </c>
      <c r="M33" s="931">
        <f t="shared" si="3"/>
        <v>0</v>
      </c>
      <c r="N33" s="931">
        <f t="shared" si="3"/>
        <v>0</v>
      </c>
      <c r="O33" s="931">
        <f t="shared" si="3"/>
        <v>0</v>
      </c>
      <c r="P33" s="931">
        <f t="shared" si="3"/>
        <v>0</v>
      </c>
      <c r="Q33" s="931">
        <f t="shared" si="3"/>
        <v>0</v>
      </c>
      <c r="R33" s="930">
        <f>SUM(C33:Q33)</f>
        <v>3738794</v>
      </c>
      <c r="S33" s="903"/>
      <c r="U33" s="53"/>
    </row>
    <row r="34" spans="1:21" x14ac:dyDescent="0.2">
      <c r="B34" s="550"/>
      <c r="C34" s="935"/>
      <c r="D34" s="935"/>
      <c r="E34" s="935"/>
      <c r="F34" s="935"/>
      <c r="G34" s="935"/>
      <c r="H34" s="935"/>
      <c r="I34" s="935"/>
      <c r="J34" s="935"/>
      <c r="K34" s="935"/>
      <c r="L34" s="935"/>
      <c r="M34" s="935"/>
      <c r="N34" s="935"/>
      <c r="O34" s="935"/>
      <c r="P34" s="935"/>
      <c r="Q34" s="935"/>
      <c r="R34" s="939"/>
      <c r="S34" s="905"/>
    </row>
    <row r="35" spans="1:21" x14ac:dyDescent="0.2">
      <c r="B35" s="3" t="s">
        <v>291</v>
      </c>
      <c r="C35" s="937">
        <v>9865597</v>
      </c>
      <c r="D35" s="937">
        <v>0</v>
      </c>
      <c r="E35" s="937">
        <v>0</v>
      </c>
      <c r="F35" s="937">
        <v>0</v>
      </c>
      <c r="G35" s="937">
        <v>0</v>
      </c>
      <c r="H35" s="937">
        <v>0</v>
      </c>
      <c r="I35" s="937">
        <v>0</v>
      </c>
      <c r="J35" s="937">
        <v>0</v>
      </c>
      <c r="K35" s="937">
        <v>0</v>
      </c>
      <c r="L35" s="937">
        <v>0</v>
      </c>
      <c r="M35" s="937">
        <v>0</v>
      </c>
      <c r="N35" s="937">
        <v>0</v>
      </c>
      <c r="O35" s="937">
        <v>0</v>
      </c>
      <c r="P35" s="937">
        <v>0</v>
      </c>
      <c r="Q35" s="937">
        <v>0</v>
      </c>
      <c r="R35" s="938" t="str">
        <f t="shared" ref="R35:R44" si="4">B35</f>
        <v>Distributive School Fund (DSA)</v>
      </c>
      <c r="S35" s="938">
        <f t="shared" ref="S35:S44" si="5">SUM(C35:Q35)</f>
        <v>9865597</v>
      </c>
    </row>
    <row r="36" spans="1:21" hidden="1" x14ac:dyDescent="0.2">
      <c r="B36" s="3" t="s">
        <v>292</v>
      </c>
      <c r="C36" s="937">
        <v>0</v>
      </c>
      <c r="D36" s="937">
        <v>0</v>
      </c>
      <c r="E36" s="937">
        <v>0</v>
      </c>
      <c r="F36" s="937">
        <v>0</v>
      </c>
      <c r="G36" s="937">
        <v>0</v>
      </c>
      <c r="H36" s="937">
        <v>0</v>
      </c>
      <c r="I36" s="937">
        <v>0</v>
      </c>
      <c r="J36" s="937">
        <v>0</v>
      </c>
      <c r="K36" s="937">
        <v>0</v>
      </c>
      <c r="L36" s="937">
        <v>0</v>
      </c>
      <c r="M36" s="937">
        <v>0</v>
      </c>
      <c r="N36" s="937">
        <v>0</v>
      </c>
      <c r="O36" s="937">
        <v>0</v>
      </c>
      <c r="P36" s="937">
        <v>0</v>
      </c>
      <c r="Q36" s="937">
        <v>0</v>
      </c>
      <c r="R36" s="938" t="str">
        <f t="shared" si="4"/>
        <v>DSA Charter Reduction-Outside Revs</v>
      </c>
      <c r="S36" s="938">
        <f t="shared" si="5"/>
        <v>0</v>
      </c>
    </row>
    <row r="37" spans="1:21" x14ac:dyDescent="0.2">
      <c r="B37" s="3" t="s">
        <v>293</v>
      </c>
      <c r="C37" s="937">
        <v>0</v>
      </c>
      <c r="D37" s="937">
        <v>0</v>
      </c>
      <c r="E37" s="937">
        <v>0</v>
      </c>
      <c r="F37" s="937">
        <v>0</v>
      </c>
      <c r="G37" s="937">
        <v>0</v>
      </c>
      <c r="H37" s="937">
        <v>0</v>
      </c>
      <c r="I37" s="937">
        <v>1128642</v>
      </c>
      <c r="J37" s="937">
        <v>0</v>
      </c>
      <c r="K37" s="937">
        <v>0</v>
      </c>
      <c r="L37" s="937">
        <v>0</v>
      </c>
      <c r="M37" s="937">
        <v>0</v>
      </c>
      <c r="N37" s="937">
        <v>0</v>
      </c>
      <c r="O37" s="937">
        <v>0</v>
      </c>
      <c r="P37" s="937">
        <v>0</v>
      </c>
      <c r="Q37" s="937">
        <v>0</v>
      </c>
      <c r="R37" s="938" t="str">
        <f t="shared" si="4"/>
        <v>Special Education - DSA Funding</v>
      </c>
      <c r="S37" s="938">
        <f t="shared" si="5"/>
        <v>1128642</v>
      </c>
    </row>
    <row r="38" spans="1:21" hidden="1" x14ac:dyDescent="0.2">
      <c r="B38" s="3" t="s">
        <v>475</v>
      </c>
      <c r="C38" s="937">
        <v>0</v>
      </c>
      <c r="D38" s="937">
        <v>0</v>
      </c>
      <c r="E38" s="937">
        <v>0</v>
      </c>
      <c r="F38" s="937">
        <v>0</v>
      </c>
      <c r="G38" s="937">
        <v>0</v>
      </c>
      <c r="H38" s="937">
        <v>0</v>
      </c>
      <c r="I38" s="937">
        <v>0</v>
      </c>
      <c r="J38" s="937">
        <v>0</v>
      </c>
      <c r="K38" s="937">
        <v>0</v>
      </c>
      <c r="L38" s="937">
        <v>0</v>
      </c>
      <c r="M38" s="937">
        <v>0</v>
      </c>
      <c r="N38" s="937">
        <v>0</v>
      </c>
      <c r="O38" s="937">
        <v>0</v>
      </c>
      <c r="P38" s="937">
        <v>0</v>
      </c>
      <c r="Q38" s="937">
        <v>0</v>
      </c>
      <c r="R38" s="938" t="str">
        <f t="shared" si="4"/>
        <v>Counseling - DSA Funding</v>
      </c>
      <c r="S38" s="938">
        <f t="shared" si="5"/>
        <v>0</v>
      </c>
    </row>
    <row r="39" spans="1:21" hidden="1" x14ac:dyDescent="0.2">
      <c r="B39" s="3" t="s">
        <v>294</v>
      </c>
      <c r="C39" s="937">
        <v>0</v>
      </c>
      <c r="D39" s="937">
        <v>0</v>
      </c>
      <c r="E39" s="937">
        <v>0</v>
      </c>
      <c r="F39" s="937">
        <v>0</v>
      </c>
      <c r="G39" s="937">
        <v>0</v>
      </c>
      <c r="H39" s="937">
        <v>0</v>
      </c>
      <c r="I39" s="937">
        <v>0</v>
      </c>
      <c r="J39" s="937">
        <v>0</v>
      </c>
      <c r="K39" s="937">
        <v>0</v>
      </c>
      <c r="L39" s="937">
        <v>0</v>
      </c>
      <c r="M39" s="937">
        <v>0</v>
      </c>
      <c r="N39" s="937">
        <v>0</v>
      </c>
      <c r="O39" s="937">
        <v>0</v>
      </c>
      <c r="P39" s="937">
        <v>0</v>
      </c>
      <c r="Q39" s="937">
        <v>0</v>
      </c>
      <c r="R39" s="938" t="str">
        <f t="shared" si="4"/>
        <v>State Food Aid</v>
      </c>
      <c r="S39" s="938">
        <f t="shared" si="5"/>
        <v>0</v>
      </c>
    </row>
    <row r="40" spans="1:21" x14ac:dyDescent="0.2">
      <c r="B40" s="3" t="s">
        <v>295</v>
      </c>
      <c r="C40" s="937">
        <v>50000</v>
      </c>
      <c r="D40" s="937">
        <v>0</v>
      </c>
      <c r="E40" s="937">
        <v>0</v>
      </c>
      <c r="F40" s="937">
        <v>0</v>
      </c>
      <c r="G40" s="937">
        <v>0</v>
      </c>
      <c r="H40" s="937">
        <v>600</v>
      </c>
      <c r="I40" s="937">
        <v>0</v>
      </c>
      <c r="J40" s="937">
        <v>0</v>
      </c>
      <c r="K40" s="937">
        <v>244000</v>
      </c>
      <c r="L40" s="937">
        <v>61000</v>
      </c>
      <c r="M40" s="937">
        <v>308000</v>
      </c>
      <c r="N40" s="937">
        <v>0</v>
      </c>
      <c r="O40" s="937">
        <v>0</v>
      </c>
      <c r="P40" s="937">
        <v>0</v>
      </c>
      <c r="Q40" s="937">
        <v>0</v>
      </c>
      <c r="R40" s="938" t="str">
        <f t="shared" si="4"/>
        <v>Restricted Funding/Grants-in-aid rev</v>
      </c>
      <c r="S40" s="938">
        <f t="shared" si="5"/>
        <v>663600</v>
      </c>
    </row>
    <row r="41" spans="1:21" hidden="1" x14ac:dyDescent="0.2">
      <c r="B41" s="3" t="s">
        <v>657</v>
      </c>
      <c r="C41" s="937">
        <v>0</v>
      </c>
      <c r="D41" s="937">
        <v>0</v>
      </c>
      <c r="E41" s="937">
        <v>0</v>
      </c>
      <c r="F41" s="937">
        <v>0</v>
      </c>
      <c r="G41" s="937">
        <v>0</v>
      </c>
      <c r="H41" s="937">
        <v>0</v>
      </c>
      <c r="I41" s="937">
        <v>0</v>
      </c>
      <c r="J41" s="937">
        <v>0</v>
      </c>
      <c r="K41" s="937">
        <v>0</v>
      </c>
      <c r="L41" s="937">
        <v>0</v>
      </c>
      <c r="M41" s="937">
        <v>0</v>
      </c>
      <c r="N41" s="937">
        <v>0</v>
      </c>
      <c r="O41" s="937">
        <v>0</v>
      </c>
      <c r="P41" s="937">
        <v>0</v>
      </c>
      <c r="Q41" s="937">
        <v>0</v>
      </c>
      <c r="R41" s="938" t="str">
        <f t="shared" si="4"/>
        <v>Adult Education - State</v>
      </c>
      <c r="S41" s="938">
        <f t="shared" si="5"/>
        <v>0</v>
      </c>
    </row>
    <row r="42" spans="1:21" hidden="1" x14ac:dyDescent="0.2">
      <c r="B42" s="3" t="s">
        <v>553</v>
      </c>
      <c r="C42" s="937">
        <v>0</v>
      </c>
      <c r="D42" s="937">
        <v>0</v>
      </c>
      <c r="E42" s="937">
        <v>0</v>
      </c>
      <c r="F42" s="937">
        <v>0</v>
      </c>
      <c r="G42" s="937">
        <v>0</v>
      </c>
      <c r="H42" s="937">
        <v>0</v>
      </c>
      <c r="I42" s="937">
        <v>0</v>
      </c>
      <c r="J42" s="937">
        <v>0</v>
      </c>
      <c r="K42" s="937">
        <v>0</v>
      </c>
      <c r="L42" s="937">
        <v>0</v>
      </c>
      <c r="M42" s="937">
        <v>0</v>
      </c>
      <c r="N42" s="937">
        <v>0</v>
      </c>
      <c r="O42" s="937">
        <v>0</v>
      </c>
      <c r="P42" s="937">
        <v>0</v>
      </c>
      <c r="Q42" s="937">
        <v>0</v>
      </c>
      <c r="R42" s="938" t="str">
        <f t="shared" si="4"/>
        <v>SB 178 NV Education Fund Plan</v>
      </c>
      <c r="S42" s="938">
        <f t="shared" si="5"/>
        <v>0</v>
      </c>
    </row>
    <row r="43" spans="1:21" x14ac:dyDescent="0.2">
      <c r="B43" s="3" t="s">
        <v>191</v>
      </c>
      <c r="C43" s="937">
        <v>0</v>
      </c>
      <c r="D43" s="937">
        <v>0</v>
      </c>
      <c r="E43" s="937">
        <v>0</v>
      </c>
      <c r="F43" s="937">
        <v>0</v>
      </c>
      <c r="G43" s="937">
        <v>0</v>
      </c>
      <c r="H43" s="937">
        <v>0</v>
      </c>
      <c r="I43" s="937">
        <v>0</v>
      </c>
      <c r="J43" s="937">
        <v>0</v>
      </c>
      <c r="K43" s="937">
        <v>0</v>
      </c>
      <c r="L43" s="937">
        <v>0</v>
      </c>
      <c r="M43" s="937">
        <v>0</v>
      </c>
      <c r="N43" s="937">
        <v>0</v>
      </c>
      <c r="O43" s="937">
        <v>44350</v>
      </c>
      <c r="P43" s="937">
        <v>0</v>
      </c>
      <c r="Q43" s="937">
        <v>0</v>
      </c>
      <c r="R43" s="938" t="str">
        <f t="shared" si="4"/>
        <v>Class Size Reduction</v>
      </c>
      <c r="S43" s="938">
        <f t="shared" si="5"/>
        <v>44350</v>
      </c>
    </row>
    <row r="44" spans="1:21" hidden="1" x14ac:dyDescent="0.2">
      <c r="B44" s="3" t="s">
        <v>386</v>
      </c>
      <c r="C44" s="937">
        <v>0</v>
      </c>
      <c r="D44" s="937">
        <v>0</v>
      </c>
      <c r="E44" s="937">
        <v>0</v>
      </c>
      <c r="F44" s="937">
        <v>0</v>
      </c>
      <c r="G44" s="937">
        <v>0</v>
      </c>
      <c r="H44" s="937">
        <v>0</v>
      </c>
      <c r="I44" s="937">
        <v>0</v>
      </c>
      <c r="J44" s="937">
        <v>0</v>
      </c>
      <c r="K44" s="937">
        <v>0</v>
      </c>
      <c r="L44" s="937">
        <v>0</v>
      </c>
      <c r="M44" s="937">
        <v>0</v>
      </c>
      <c r="N44" s="937">
        <v>0</v>
      </c>
      <c r="O44" s="937">
        <v>0</v>
      </c>
      <c r="P44" s="937">
        <v>0</v>
      </c>
      <c r="Q44" s="937">
        <v>0</v>
      </c>
      <c r="R44" s="938" t="str">
        <f t="shared" si="4"/>
        <v>For/on behalf of School District</v>
      </c>
      <c r="S44" s="938">
        <f t="shared" si="5"/>
        <v>0</v>
      </c>
    </row>
    <row r="45" spans="1:21" hidden="1" x14ac:dyDescent="0.2">
      <c r="C45" s="935"/>
      <c r="D45" s="935"/>
      <c r="E45" s="935"/>
      <c r="F45" s="935"/>
      <c r="G45" s="935"/>
      <c r="H45" s="935"/>
      <c r="I45" s="935"/>
      <c r="J45" s="935"/>
      <c r="K45" s="935"/>
      <c r="L45" s="935"/>
      <c r="M45" s="935"/>
      <c r="N45" s="935"/>
      <c r="O45" s="935"/>
      <c r="P45" s="935"/>
      <c r="Q45" s="935"/>
      <c r="R45" s="939"/>
      <c r="S45" s="905"/>
    </row>
    <row r="46" spans="1:21" s="2" customFormat="1" x14ac:dyDescent="0.2">
      <c r="B46" s="39" t="s">
        <v>125</v>
      </c>
      <c r="C46" s="931">
        <f>SUM(C34:C45)</f>
        <v>9915597</v>
      </c>
      <c r="D46" s="931">
        <f t="shared" ref="D46:Q46" si="6">SUM(D34:D45)</f>
        <v>0</v>
      </c>
      <c r="E46" s="931">
        <f t="shared" si="6"/>
        <v>0</v>
      </c>
      <c r="F46" s="931">
        <f t="shared" si="6"/>
        <v>0</v>
      </c>
      <c r="G46" s="931">
        <f t="shared" si="6"/>
        <v>0</v>
      </c>
      <c r="H46" s="931">
        <f t="shared" si="6"/>
        <v>600</v>
      </c>
      <c r="I46" s="931">
        <f t="shared" si="6"/>
        <v>1128642</v>
      </c>
      <c r="J46" s="931">
        <f t="shared" si="6"/>
        <v>0</v>
      </c>
      <c r="K46" s="931">
        <f t="shared" si="6"/>
        <v>244000</v>
      </c>
      <c r="L46" s="931">
        <f>SUM(L34:L45)</f>
        <v>61000</v>
      </c>
      <c r="M46" s="931">
        <f t="shared" si="6"/>
        <v>308000</v>
      </c>
      <c r="N46" s="931">
        <f t="shared" si="6"/>
        <v>0</v>
      </c>
      <c r="O46" s="931">
        <f t="shared" si="6"/>
        <v>44350</v>
      </c>
      <c r="P46" s="931">
        <f t="shared" si="6"/>
        <v>0</v>
      </c>
      <c r="Q46" s="931">
        <f t="shared" si="6"/>
        <v>0</v>
      </c>
      <c r="R46" s="930">
        <f>SUM(C46:Q46)</f>
        <v>11702189</v>
      </c>
      <c r="S46" s="903"/>
      <c r="U46" s="53"/>
    </row>
    <row r="47" spans="1:21" x14ac:dyDescent="0.2">
      <c r="B47" s="550"/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9"/>
      <c r="S47" s="905"/>
    </row>
    <row r="48" spans="1:21" s="37" customFormat="1" hidden="1" x14ac:dyDescent="0.2">
      <c r="A48" s="2"/>
      <c r="B48" s="3" t="s">
        <v>658</v>
      </c>
      <c r="C48" s="937">
        <v>0</v>
      </c>
      <c r="D48" s="937">
        <v>0</v>
      </c>
      <c r="E48" s="937">
        <v>0</v>
      </c>
      <c r="F48" s="937">
        <v>0</v>
      </c>
      <c r="G48" s="937">
        <v>0</v>
      </c>
      <c r="H48" s="937">
        <v>0</v>
      </c>
      <c r="I48" s="937">
        <v>0</v>
      </c>
      <c r="J48" s="937">
        <v>0</v>
      </c>
      <c r="K48" s="937">
        <v>0</v>
      </c>
      <c r="L48" s="937">
        <v>0</v>
      </c>
      <c r="M48" s="937">
        <v>0</v>
      </c>
      <c r="N48" s="937">
        <v>0</v>
      </c>
      <c r="O48" s="937">
        <v>0</v>
      </c>
      <c r="P48" s="937">
        <v>0</v>
      </c>
      <c r="Q48" s="937">
        <v>0</v>
      </c>
      <c r="R48" s="938" t="str">
        <f t="shared" ref="R48:R58" si="7">B48</f>
        <v>Federal Lunch Reimbursement</v>
      </c>
      <c r="S48" s="938">
        <f t="shared" ref="S48:S58" si="8">SUM(C48:Q48)</f>
        <v>0</v>
      </c>
      <c r="U48" s="519"/>
    </row>
    <row r="49" spans="1:21" s="37" customFormat="1" hidden="1" x14ac:dyDescent="0.2">
      <c r="A49" s="2"/>
      <c r="B49" s="3" t="s">
        <v>659</v>
      </c>
      <c r="C49" s="937">
        <v>0</v>
      </c>
      <c r="D49" s="937">
        <v>0</v>
      </c>
      <c r="E49" s="937">
        <v>0</v>
      </c>
      <c r="F49" s="937">
        <v>0</v>
      </c>
      <c r="G49" s="937">
        <v>0</v>
      </c>
      <c r="H49" s="937">
        <v>0</v>
      </c>
      <c r="I49" s="937">
        <v>0</v>
      </c>
      <c r="J49" s="937">
        <v>0</v>
      </c>
      <c r="K49" s="937">
        <v>0</v>
      </c>
      <c r="L49" s="937">
        <v>0</v>
      </c>
      <c r="M49" s="937">
        <v>0</v>
      </c>
      <c r="N49" s="937">
        <v>0</v>
      </c>
      <c r="O49" s="937">
        <v>0</v>
      </c>
      <c r="P49" s="937">
        <v>0</v>
      </c>
      <c r="Q49" s="937">
        <v>0</v>
      </c>
      <c r="R49" s="938" t="str">
        <f t="shared" si="7"/>
        <v>Forest Reserve</v>
      </c>
      <c r="S49" s="938">
        <f t="shared" si="8"/>
        <v>0</v>
      </c>
      <c r="U49" s="519"/>
    </row>
    <row r="50" spans="1:21" s="37" customFormat="1" hidden="1" x14ac:dyDescent="0.2">
      <c r="A50" s="2"/>
      <c r="B50" s="3" t="s">
        <v>660</v>
      </c>
      <c r="C50" s="937">
        <v>0</v>
      </c>
      <c r="D50" s="937">
        <v>0</v>
      </c>
      <c r="E50" s="937">
        <v>0</v>
      </c>
      <c r="F50" s="937">
        <v>0</v>
      </c>
      <c r="G50" s="937">
        <v>0</v>
      </c>
      <c r="H50" s="937">
        <v>0</v>
      </c>
      <c r="I50" s="937">
        <v>0</v>
      </c>
      <c r="J50" s="937">
        <v>0</v>
      </c>
      <c r="K50" s="937">
        <v>0</v>
      </c>
      <c r="L50" s="937">
        <v>0</v>
      </c>
      <c r="M50" s="937">
        <v>0</v>
      </c>
      <c r="N50" s="937">
        <v>0</v>
      </c>
      <c r="O50" s="937">
        <v>0</v>
      </c>
      <c r="P50" s="937">
        <v>0</v>
      </c>
      <c r="Q50" s="937">
        <v>0</v>
      </c>
      <c r="R50" s="938" t="str">
        <f t="shared" si="7"/>
        <v>Erate Funds</v>
      </c>
      <c r="S50" s="938">
        <f t="shared" si="8"/>
        <v>0</v>
      </c>
      <c r="U50" s="519"/>
    </row>
    <row r="51" spans="1:21" s="37" customFormat="1" hidden="1" x14ac:dyDescent="0.2">
      <c r="A51" s="2"/>
      <c r="B51" s="3" t="s">
        <v>297</v>
      </c>
      <c r="C51" s="937">
        <v>0</v>
      </c>
      <c r="D51" s="937">
        <v>0</v>
      </c>
      <c r="E51" s="937">
        <v>0</v>
      </c>
      <c r="F51" s="937">
        <v>0</v>
      </c>
      <c r="G51" s="937">
        <v>0</v>
      </c>
      <c r="H51" s="937">
        <v>0</v>
      </c>
      <c r="I51" s="937">
        <v>0</v>
      </c>
      <c r="J51" s="937">
        <v>0</v>
      </c>
      <c r="K51" s="937">
        <v>0</v>
      </c>
      <c r="L51" s="937">
        <v>0</v>
      </c>
      <c r="M51" s="937">
        <v>0</v>
      </c>
      <c r="N51" s="937">
        <v>0</v>
      </c>
      <c r="O51" s="937">
        <v>0</v>
      </c>
      <c r="P51" s="937">
        <v>0</v>
      </c>
      <c r="Q51" s="937">
        <v>0</v>
      </c>
      <c r="R51" s="938" t="str">
        <f t="shared" si="7"/>
        <v>Medicaid SBCHS Reimbursement</v>
      </c>
      <c r="S51" s="938">
        <f t="shared" si="8"/>
        <v>0</v>
      </c>
      <c r="U51" s="519"/>
    </row>
    <row r="52" spans="1:21" s="37" customFormat="1" x14ac:dyDescent="0.2">
      <c r="A52" s="2"/>
      <c r="B52" s="3" t="s">
        <v>390</v>
      </c>
      <c r="C52" s="937">
        <v>80000</v>
      </c>
      <c r="D52" s="937">
        <v>0</v>
      </c>
      <c r="E52" s="937">
        <v>0</v>
      </c>
      <c r="F52" s="937">
        <v>0</v>
      </c>
      <c r="G52" s="937">
        <v>0</v>
      </c>
      <c r="H52" s="937">
        <v>0</v>
      </c>
      <c r="I52" s="937">
        <v>0</v>
      </c>
      <c r="J52" s="937">
        <v>0</v>
      </c>
      <c r="K52" s="937">
        <v>0</v>
      </c>
      <c r="L52" s="937">
        <v>0</v>
      </c>
      <c r="M52" s="937">
        <v>0</v>
      </c>
      <c r="N52" s="937">
        <v>0</v>
      </c>
      <c r="O52" s="937">
        <v>0</v>
      </c>
      <c r="P52" s="937">
        <v>0</v>
      </c>
      <c r="Q52" s="937">
        <v>0</v>
      </c>
      <c r="R52" s="938" t="str">
        <f t="shared" si="7"/>
        <v>Unrestricted - Direct Fed Gov't</v>
      </c>
      <c r="S52" s="938">
        <f t="shared" si="8"/>
        <v>80000</v>
      </c>
      <c r="U52" s="519"/>
    </row>
    <row r="53" spans="1:21" s="37" customFormat="1" x14ac:dyDescent="0.2">
      <c r="A53" s="2"/>
      <c r="B53" s="3" t="s">
        <v>617</v>
      </c>
      <c r="C53" s="937">
        <v>0</v>
      </c>
      <c r="D53" s="937">
        <v>0</v>
      </c>
      <c r="E53" s="937">
        <v>0</v>
      </c>
      <c r="F53" s="937">
        <v>0</v>
      </c>
      <c r="G53" s="937">
        <v>0</v>
      </c>
      <c r="H53" s="937">
        <v>0</v>
      </c>
      <c r="I53" s="937">
        <v>0</v>
      </c>
      <c r="J53" s="937">
        <v>0</v>
      </c>
      <c r="K53" s="937">
        <v>0</v>
      </c>
      <c r="L53" s="937">
        <v>0</v>
      </c>
      <c r="M53" s="937">
        <v>0</v>
      </c>
      <c r="N53" s="937">
        <v>700000</v>
      </c>
      <c r="O53" s="937">
        <v>0</v>
      </c>
      <c r="P53" s="937">
        <v>0</v>
      </c>
      <c r="Q53" s="937">
        <v>0</v>
      </c>
      <c r="R53" s="938" t="str">
        <f t="shared" si="7"/>
        <v>Unrestricted - State Agency</v>
      </c>
      <c r="S53" s="938">
        <f t="shared" si="8"/>
        <v>700000</v>
      </c>
      <c r="U53" s="519"/>
    </row>
    <row r="54" spans="1:21" s="37" customFormat="1" hidden="1" x14ac:dyDescent="0.2">
      <c r="A54" s="2"/>
      <c r="B54" s="3" t="s">
        <v>299</v>
      </c>
      <c r="C54" s="937">
        <v>0</v>
      </c>
      <c r="D54" s="937">
        <v>0</v>
      </c>
      <c r="E54" s="937">
        <v>0</v>
      </c>
      <c r="F54" s="937">
        <v>0</v>
      </c>
      <c r="G54" s="937">
        <v>0</v>
      </c>
      <c r="H54" s="937">
        <v>0</v>
      </c>
      <c r="I54" s="937">
        <v>0</v>
      </c>
      <c r="J54" s="937">
        <v>0</v>
      </c>
      <c r="K54" s="937">
        <v>0</v>
      </c>
      <c r="L54" s="937">
        <v>0</v>
      </c>
      <c r="M54" s="937">
        <v>0</v>
      </c>
      <c r="N54" s="937">
        <v>0</v>
      </c>
      <c r="O54" s="937">
        <v>0</v>
      </c>
      <c r="P54" s="937">
        <v>0</v>
      </c>
      <c r="Q54" s="937">
        <v>0</v>
      </c>
      <c r="R54" s="938" t="str">
        <f t="shared" si="7"/>
        <v>Restricted - Direct</v>
      </c>
      <c r="S54" s="938">
        <f t="shared" si="8"/>
        <v>0</v>
      </c>
      <c r="U54" s="519"/>
    </row>
    <row r="55" spans="1:21" s="37" customFormat="1" x14ac:dyDescent="0.2">
      <c r="A55" s="2"/>
      <c r="B55" s="3" t="s">
        <v>298</v>
      </c>
      <c r="C55" s="937">
        <v>0</v>
      </c>
      <c r="D55" s="937">
        <v>0</v>
      </c>
      <c r="E55" s="937">
        <v>0</v>
      </c>
      <c r="F55" s="937">
        <v>0</v>
      </c>
      <c r="G55" s="937">
        <v>0</v>
      </c>
      <c r="H55" s="937">
        <v>142000</v>
      </c>
      <c r="I55" s="937">
        <v>0</v>
      </c>
      <c r="J55" s="937">
        <v>0</v>
      </c>
      <c r="K55" s="937">
        <v>0</v>
      </c>
      <c r="L55" s="937">
        <v>0</v>
      </c>
      <c r="M55" s="937">
        <v>0</v>
      </c>
      <c r="N55" s="937">
        <v>0</v>
      </c>
      <c r="O55" s="937">
        <v>0</v>
      </c>
      <c r="P55" s="937">
        <v>0</v>
      </c>
      <c r="Q55" s="937">
        <v>0</v>
      </c>
      <c r="R55" s="938" t="str">
        <f t="shared" si="7"/>
        <v>Restricted - State Agency</v>
      </c>
      <c r="S55" s="938">
        <f t="shared" si="8"/>
        <v>142000</v>
      </c>
      <c r="U55" s="519"/>
    </row>
    <row r="56" spans="1:21" s="37" customFormat="1" hidden="1" x14ac:dyDescent="0.2">
      <c r="A56" s="2"/>
      <c r="B56" s="3" t="s">
        <v>476</v>
      </c>
      <c r="C56" s="937">
        <v>0</v>
      </c>
      <c r="D56" s="937">
        <v>0</v>
      </c>
      <c r="E56" s="937">
        <v>0</v>
      </c>
      <c r="F56" s="937">
        <v>0</v>
      </c>
      <c r="G56" s="937">
        <v>0</v>
      </c>
      <c r="H56" s="937">
        <v>0</v>
      </c>
      <c r="I56" s="937">
        <v>0</v>
      </c>
      <c r="J56" s="937">
        <v>0</v>
      </c>
      <c r="K56" s="937">
        <v>0</v>
      </c>
      <c r="L56" s="937">
        <v>0</v>
      </c>
      <c r="M56" s="937">
        <v>0</v>
      </c>
      <c r="N56" s="937">
        <v>0</v>
      </c>
      <c r="O56" s="937">
        <v>0</v>
      </c>
      <c r="P56" s="937">
        <v>0</v>
      </c>
      <c r="Q56" s="937">
        <v>0</v>
      </c>
      <c r="R56" s="938" t="str">
        <f t="shared" si="7"/>
        <v>Restricted - Other Agency</v>
      </c>
      <c r="S56" s="938">
        <f t="shared" si="8"/>
        <v>0</v>
      </c>
      <c r="U56" s="519"/>
    </row>
    <row r="57" spans="1:21" s="37" customFormat="1" hidden="1" x14ac:dyDescent="0.2">
      <c r="A57" s="2"/>
      <c r="B57" s="3" t="s">
        <v>398</v>
      </c>
      <c r="C57" s="937">
        <v>0</v>
      </c>
      <c r="D57" s="937">
        <v>0</v>
      </c>
      <c r="E57" s="937">
        <v>0</v>
      </c>
      <c r="F57" s="937">
        <v>0</v>
      </c>
      <c r="G57" s="937">
        <v>0</v>
      </c>
      <c r="H57" s="937">
        <v>0</v>
      </c>
      <c r="I57" s="937">
        <v>0</v>
      </c>
      <c r="J57" s="937">
        <v>0</v>
      </c>
      <c r="K57" s="937">
        <v>0</v>
      </c>
      <c r="L57" s="937">
        <v>0</v>
      </c>
      <c r="M57" s="937">
        <v>0</v>
      </c>
      <c r="N57" s="937">
        <v>0</v>
      </c>
      <c r="O57" s="937">
        <v>0</v>
      </c>
      <c r="P57" s="937">
        <v>0</v>
      </c>
      <c r="Q57" s="937">
        <v>0</v>
      </c>
      <c r="R57" s="938" t="str">
        <f t="shared" si="7"/>
        <v>Revenue in Lieu of Taxes</v>
      </c>
      <c r="S57" s="938">
        <f t="shared" si="8"/>
        <v>0</v>
      </c>
      <c r="U57" s="519"/>
    </row>
    <row r="58" spans="1:21" hidden="1" x14ac:dyDescent="0.2">
      <c r="B58" s="3" t="s">
        <v>554</v>
      </c>
      <c r="C58" s="937">
        <v>0</v>
      </c>
      <c r="D58" s="937">
        <v>0</v>
      </c>
      <c r="E58" s="937">
        <v>0</v>
      </c>
      <c r="F58" s="937">
        <v>0</v>
      </c>
      <c r="G58" s="937">
        <v>0</v>
      </c>
      <c r="H58" s="937">
        <v>0</v>
      </c>
      <c r="I58" s="937">
        <v>0</v>
      </c>
      <c r="J58" s="937">
        <v>0</v>
      </c>
      <c r="K58" s="937">
        <v>0</v>
      </c>
      <c r="L58" s="937">
        <v>0</v>
      </c>
      <c r="M58" s="937">
        <v>0</v>
      </c>
      <c r="N58" s="937">
        <v>0</v>
      </c>
      <c r="O58" s="937">
        <v>0</v>
      </c>
      <c r="P58" s="937">
        <v>0</v>
      </c>
      <c r="Q58" s="937">
        <v>0</v>
      </c>
      <c r="R58" s="938" t="str">
        <f t="shared" si="7"/>
        <v>Revenue for/on behalf of School District</v>
      </c>
      <c r="S58" s="938">
        <f t="shared" si="8"/>
        <v>0</v>
      </c>
    </row>
    <row r="59" spans="1:21" hidden="1" x14ac:dyDescent="0.2">
      <c r="C59" s="935"/>
      <c r="D59" s="935"/>
      <c r="E59" s="935"/>
      <c r="F59" s="935"/>
      <c r="G59" s="935"/>
      <c r="H59" s="935"/>
      <c r="I59" s="935"/>
      <c r="J59" s="935"/>
      <c r="K59" s="935"/>
      <c r="L59" s="935"/>
      <c r="M59" s="935"/>
      <c r="N59" s="935"/>
      <c r="O59" s="935"/>
      <c r="P59" s="935"/>
      <c r="Q59" s="935"/>
      <c r="R59" s="939"/>
      <c r="S59" s="905"/>
    </row>
    <row r="60" spans="1:21" s="2" customFormat="1" x14ac:dyDescent="0.2">
      <c r="B60" s="39" t="s">
        <v>126</v>
      </c>
      <c r="C60" s="931">
        <f>SUM(C47:C59)</f>
        <v>80000</v>
      </c>
      <c r="D60" s="931">
        <f t="shared" ref="D60:Q60" si="9">SUM(D47:D59)</f>
        <v>0</v>
      </c>
      <c r="E60" s="931">
        <f t="shared" si="9"/>
        <v>0</v>
      </c>
      <c r="F60" s="931">
        <f t="shared" si="9"/>
        <v>0</v>
      </c>
      <c r="G60" s="931">
        <f t="shared" si="9"/>
        <v>0</v>
      </c>
      <c r="H60" s="931">
        <f t="shared" si="9"/>
        <v>142000</v>
      </c>
      <c r="I60" s="931">
        <f t="shared" si="9"/>
        <v>0</v>
      </c>
      <c r="J60" s="931">
        <f t="shared" si="9"/>
        <v>0</v>
      </c>
      <c r="K60" s="931">
        <f t="shared" si="9"/>
        <v>0</v>
      </c>
      <c r="L60" s="931">
        <f t="shared" si="9"/>
        <v>0</v>
      </c>
      <c r="M60" s="931">
        <f t="shared" si="9"/>
        <v>0</v>
      </c>
      <c r="N60" s="931">
        <f t="shared" si="9"/>
        <v>700000</v>
      </c>
      <c r="O60" s="931">
        <f t="shared" si="9"/>
        <v>0</v>
      </c>
      <c r="P60" s="931">
        <f t="shared" si="9"/>
        <v>0</v>
      </c>
      <c r="Q60" s="931">
        <f t="shared" si="9"/>
        <v>0</v>
      </c>
      <c r="R60" s="930">
        <f>SUM(C60:Q60)</f>
        <v>922000</v>
      </c>
      <c r="S60" s="903"/>
      <c r="U60" s="53"/>
    </row>
    <row r="61" spans="1:21" x14ac:dyDescent="0.2">
      <c r="B61" s="550"/>
      <c r="C61" s="935"/>
      <c r="D61" s="935"/>
      <c r="E61" s="935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9"/>
      <c r="S61" s="905"/>
    </row>
    <row r="62" spans="1:21" hidden="1" x14ac:dyDescent="0.2">
      <c r="B62" s="550" t="s">
        <v>300</v>
      </c>
      <c r="C62" s="935">
        <v>0</v>
      </c>
      <c r="D62" s="935">
        <v>0</v>
      </c>
      <c r="E62" s="935">
        <v>0</v>
      </c>
      <c r="F62" s="935">
        <v>0</v>
      </c>
      <c r="G62" s="935">
        <v>0</v>
      </c>
      <c r="H62" s="935">
        <v>0</v>
      </c>
      <c r="I62" s="935">
        <v>0</v>
      </c>
      <c r="J62" s="935">
        <v>0</v>
      </c>
      <c r="K62" s="935">
        <v>0</v>
      </c>
      <c r="L62" s="935">
        <v>0</v>
      </c>
      <c r="M62" s="935">
        <v>0</v>
      </c>
      <c r="N62" s="935">
        <v>0</v>
      </c>
      <c r="O62" s="935">
        <v>0</v>
      </c>
      <c r="P62" s="935">
        <v>0</v>
      </c>
      <c r="Q62" s="935">
        <v>0</v>
      </c>
      <c r="R62" s="905" t="s">
        <v>300</v>
      </c>
      <c r="S62" s="935">
        <f>SUM(C62:Q62)</f>
        <v>0</v>
      </c>
    </row>
    <row r="63" spans="1:21" hidden="1" x14ac:dyDescent="0.2">
      <c r="B63" s="550" t="s">
        <v>408</v>
      </c>
      <c r="C63" s="935">
        <v>0</v>
      </c>
      <c r="D63" s="935">
        <v>0</v>
      </c>
      <c r="E63" s="935">
        <v>0</v>
      </c>
      <c r="F63" s="935">
        <v>0</v>
      </c>
      <c r="G63" s="935">
        <v>0</v>
      </c>
      <c r="H63" s="935">
        <v>0</v>
      </c>
      <c r="I63" s="935">
        <v>0</v>
      </c>
      <c r="J63" s="935">
        <v>0</v>
      </c>
      <c r="K63" s="935">
        <v>0</v>
      </c>
      <c r="L63" s="935">
        <v>0</v>
      </c>
      <c r="M63" s="935">
        <v>0</v>
      </c>
      <c r="N63" s="935">
        <v>0</v>
      </c>
      <c r="O63" s="935">
        <v>0</v>
      </c>
      <c r="P63" s="935">
        <v>0</v>
      </c>
      <c r="Q63" s="935">
        <v>0</v>
      </c>
      <c r="R63" s="905" t="s">
        <v>408</v>
      </c>
      <c r="S63" s="935">
        <f t="shared" ref="S63:S65" si="10">SUM(C63:Q63)</f>
        <v>0</v>
      </c>
    </row>
    <row r="64" spans="1:21" x14ac:dyDescent="0.2">
      <c r="B64" s="550" t="s">
        <v>301</v>
      </c>
      <c r="C64" s="935">
        <v>100000</v>
      </c>
      <c r="D64" s="935">
        <v>0</v>
      </c>
      <c r="E64" s="935">
        <v>0</v>
      </c>
      <c r="F64" s="935">
        <v>145000</v>
      </c>
      <c r="G64" s="935">
        <v>0</v>
      </c>
      <c r="H64" s="935">
        <v>70000</v>
      </c>
      <c r="I64" s="935">
        <v>330000</v>
      </c>
      <c r="J64" s="935">
        <v>1097000</v>
      </c>
      <c r="K64" s="935">
        <v>0</v>
      </c>
      <c r="L64" s="935">
        <v>0</v>
      </c>
      <c r="M64" s="935">
        <v>0</v>
      </c>
      <c r="N64" s="935">
        <v>0</v>
      </c>
      <c r="O64" s="935">
        <v>0</v>
      </c>
      <c r="P64" s="935">
        <v>30000</v>
      </c>
      <c r="Q64" s="935">
        <v>-1772000</v>
      </c>
      <c r="R64" s="905" t="s">
        <v>301</v>
      </c>
      <c r="S64" s="935">
        <f>SUM(C64:Q64)</f>
        <v>0</v>
      </c>
    </row>
    <row r="65" spans="1:21" hidden="1" x14ac:dyDescent="0.2">
      <c r="B65" s="550" t="s">
        <v>661</v>
      </c>
      <c r="C65" s="935">
        <v>0</v>
      </c>
      <c r="D65" s="935">
        <v>0</v>
      </c>
      <c r="E65" s="935">
        <v>0</v>
      </c>
      <c r="F65" s="935">
        <v>0</v>
      </c>
      <c r="G65" s="935">
        <v>0</v>
      </c>
      <c r="H65" s="935">
        <v>0</v>
      </c>
      <c r="I65" s="935">
        <v>0</v>
      </c>
      <c r="J65" s="935">
        <v>0</v>
      </c>
      <c r="K65" s="935">
        <v>0</v>
      </c>
      <c r="L65" s="935">
        <v>0</v>
      </c>
      <c r="M65" s="935">
        <v>0</v>
      </c>
      <c r="N65" s="935">
        <v>0</v>
      </c>
      <c r="O65" s="935">
        <v>0</v>
      </c>
      <c r="P65" s="935">
        <v>0</v>
      </c>
      <c r="Q65" s="935">
        <v>0</v>
      </c>
      <c r="R65" s="905" t="s">
        <v>661</v>
      </c>
      <c r="S65" s="935">
        <f t="shared" si="10"/>
        <v>0</v>
      </c>
    </row>
    <row r="66" spans="1:21" hidden="1" x14ac:dyDescent="0.2">
      <c r="C66" s="935"/>
      <c r="D66" s="935"/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9"/>
      <c r="S66" s="905"/>
    </row>
    <row r="67" spans="1:21" s="2" customFormat="1" x14ac:dyDescent="0.2">
      <c r="B67" s="39" t="s">
        <v>127</v>
      </c>
      <c r="C67" s="931">
        <f>SUM(C61:C66)</f>
        <v>100000</v>
      </c>
      <c r="D67" s="931">
        <f t="shared" ref="D67:Q67" si="11">SUM(D61:D66)</f>
        <v>0</v>
      </c>
      <c r="E67" s="931">
        <f t="shared" si="11"/>
        <v>0</v>
      </c>
      <c r="F67" s="931">
        <f t="shared" si="11"/>
        <v>145000</v>
      </c>
      <c r="G67" s="931">
        <f t="shared" si="11"/>
        <v>0</v>
      </c>
      <c r="H67" s="931">
        <f t="shared" si="11"/>
        <v>70000</v>
      </c>
      <c r="I67" s="931">
        <f t="shared" si="11"/>
        <v>330000</v>
      </c>
      <c r="J67" s="931">
        <f t="shared" si="11"/>
        <v>1097000</v>
      </c>
      <c r="K67" s="931">
        <f t="shared" si="11"/>
        <v>0</v>
      </c>
      <c r="L67" s="931">
        <f t="shared" si="11"/>
        <v>0</v>
      </c>
      <c r="M67" s="931">
        <f t="shared" si="11"/>
        <v>0</v>
      </c>
      <c r="N67" s="931">
        <f t="shared" si="11"/>
        <v>0</v>
      </c>
      <c r="O67" s="931">
        <f t="shared" si="11"/>
        <v>0</v>
      </c>
      <c r="P67" s="931">
        <f t="shared" si="11"/>
        <v>30000</v>
      </c>
      <c r="Q67" s="931">
        <f t="shared" si="11"/>
        <v>-1772000</v>
      </c>
      <c r="R67" s="930">
        <f>SUM(C67:Q67)</f>
        <v>0</v>
      </c>
      <c r="S67" s="903"/>
      <c r="U67" s="53"/>
    </row>
    <row r="68" spans="1:21" x14ac:dyDescent="0.2">
      <c r="C68" s="935"/>
      <c r="D68" s="935"/>
      <c r="E68" s="935"/>
      <c r="F68" s="935"/>
      <c r="G68" s="935"/>
      <c r="H68" s="935"/>
      <c r="I68" s="935"/>
      <c r="J68" s="935"/>
      <c r="K68" s="935"/>
      <c r="L68" s="935"/>
      <c r="M68" s="935"/>
      <c r="N68" s="935"/>
      <c r="O68" s="935"/>
      <c r="P68" s="935"/>
      <c r="Q68" s="935"/>
      <c r="R68" s="939"/>
      <c r="S68" s="905"/>
    </row>
    <row r="69" spans="1:21" s="2" customFormat="1" x14ac:dyDescent="0.2">
      <c r="B69" s="18" t="s">
        <v>128</v>
      </c>
      <c r="C69" s="931">
        <f>SUM(C67,C60,C46,C33)</f>
        <v>12710918</v>
      </c>
      <c r="D69" s="931">
        <f t="shared" ref="D69:Q69" si="12">SUM(D67,D60,D46,D33)</f>
        <v>564719</v>
      </c>
      <c r="E69" s="931">
        <f t="shared" si="12"/>
        <v>100</v>
      </c>
      <c r="F69" s="931">
        <f t="shared" si="12"/>
        <v>311894</v>
      </c>
      <c r="G69" s="931">
        <f t="shared" si="12"/>
        <v>0</v>
      </c>
      <c r="H69" s="931">
        <f t="shared" si="12"/>
        <v>282600</v>
      </c>
      <c r="I69" s="931">
        <f t="shared" si="12"/>
        <v>1458642</v>
      </c>
      <c r="J69" s="931">
        <f t="shared" si="12"/>
        <v>1418760</v>
      </c>
      <c r="K69" s="931">
        <f t="shared" si="12"/>
        <v>244000</v>
      </c>
      <c r="L69" s="931">
        <f t="shared" si="12"/>
        <v>61000</v>
      </c>
      <c r="M69" s="931">
        <f t="shared" si="12"/>
        <v>308000</v>
      </c>
      <c r="N69" s="931">
        <f t="shared" si="12"/>
        <v>700000</v>
      </c>
      <c r="O69" s="931">
        <f t="shared" si="12"/>
        <v>44350</v>
      </c>
      <c r="P69" s="931">
        <f t="shared" si="12"/>
        <v>30000</v>
      </c>
      <c r="Q69" s="931">
        <f t="shared" si="12"/>
        <v>-1772000</v>
      </c>
      <c r="R69" s="930">
        <f>SUM(R33:R68)</f>
        <v>16362983</v>
      </c>
      <c r="S69" s="903"/>
      <c r="U69" s="53"/>
    </row>
    <row r="70" spans="1:21" s="2" customFormat="1" x14ac:dyDescent="0.2">
      <c r="B70" s="18"/>
      <c r="C70" s="931"/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0"/>
      <c r="S70" s="903"/>
      <c r="U70" s="53"/>
    </row>
    <row r="71" spans="1:21" s="37" customFormat="1" hidden="1" x14ac:dyDescent="0.2">
      <c r="A71" s="2"/>
      <c r="B71" s="3" t="s">
        <v>662</v>
      </c>
      <c r="C71" s="937">
        <v>0</v>
      </c>
      <c r="D71" s="937">
        <v>0</v>
      </c>
      <c r="E71" s="937">
        <v>0</v>
      </c>
      <c r="F71" s="937">
        <v>0</v>
      </c>
      <c r="G71" s="937">
        <v>0</v>
      </c>
      <c r="H71" s="937">
        <v>0</v>
      </c>
      <c r="I71" s="937">
        <v>0</v>
      </c>
      <c r="J71" s="937">
        <v>0</v>
      </c>
      <c r="K71" s="937">
        <v>0</v>
      </c>
      <c r="L71" s="937">
        <v>0</v>
      </c>
      <c r="M71" s="937">
        <v>0</v>
      </c>
      <c r="N71" s="937">
        <v>0</v>
      </c>
      <c r="O71" s="937">
        <v>0</v>
      </c>
      <c r="P71" s="937">
        <v>0</v>
      </c>
      <c r="Q71" s="937">
        <v>0</v>
      </c>
      <c r="R71" s="938" t="str">
        <f t="shared" ref="R71:R76" si="13">B71</f>
        <v>Reserved Net Proceeds</v>
      </c>
      <c r="S71" s="938">
        <f t="shared" ref="S71:S76" si="14">SUM(C71:Q71)</f>
        <v>0</v>
      </c>
      <c r="U71" s="519"/>
    </row>
    <row r="72" spans="1:21" s="37" customFormat="1" hidden="1" x14ac:dyDescent="0.2">
      <c r="A72" s="2"/>
      <c r="B72" s="3" t="s">
        <v>663</v>
      </c>
      <c r="C72" s="937">
        <v>0</v>
      </c>
      <c r="D72" s="937">
        <v>0</v>
      </c>
      <c r="E72" s="937">
        <v>0</v>
      </c>
      <c r="F72" s="937">
        <v>0</v>
      </c>
      <c r="G72" s="937">
        <v>0</v>
      </c>
      <c r="H72" s="937">
        <v>0</v>
      </c>
      <c r="I72" s="937">
        <v>0</v>
      </c>
      <c r="J72" s="937">
        <v>0</v>
      </c>
      <c r="K72" s="937">
        <v>0</v>
      </c>
      <c r="L72" s="937">
        <v>0</v>
      </c>
      <c r="M72" s="937">
        <v>0</v>
      </c>
      <c r="N72" s="937">
        <v>0</v>
      </c>
      <c r="O72" s="937">
        <v>0</v>
      </c>
      <c r="P72" s="937">
        <v>0</v>
      </c>
      <c r="Q72" s="937">
        <v>0</v>
      </c>
      <c r="R72" s="938" t="str">
        <f t="shared" si="13"/>
        <v>Reserved Fund Balance - PIRC</v>
      </c>
      <c r="S72" s="938">
        <f t="shared" si="14"/>
        <v>0</v>
      </c>
      <c r="U72" s="519"/>
    </row>
    <row r="73" spans="1:21" s="37" customFormat="1" hidden="1" x14ac:dyDescent="0.2">
      <c r="A73" s="2"/>
      <c r="B73" s="3" t="s">
        <v>303</v>
      </c>
      <c r="C73" s="937">
        <v>0</v>
      </c>
      <c r="D73" s="937">
        <v>0</v>
      </c>
      <c r="E73" s="937">
        <v>0</v>
      </c>
      <c r="F73" s="937">
        <v>0</v>
      </c>
      <c r="G73" s="937">
        <v>0</v>
      </c>
      <c r="H73" s="937">
        <v>0</v>
      </c>
      <c r="I73" s="937">
        <v>0</v>
      </c>
      <c r="J73" s="937">
        <v>0</v>
      </c>
      <c r="K73" s="937">
        <v>0</v>
      </c>
      <c r="L73" s="937">
        <v>0</v>
      </c>
      <c r="M73" s="937">
        <v>0</v>
      </c>
      <c r="N73" s="937">
        <v>0</v>
      </c>
      <c r="O73" s="937">
        <v>0</v>
      </c>
      <c r="P73" s="937">
        <v>0</v>
      </c>
      <c r="Q73" s="937">
        <v>0</v>
      </c>
      <c r="R73" s="938" t="str">
        <f t="shared" si="13"/>
        <v>Reserved Opening Balance</v>
      </c>
      <c r="S73" s="938">
        <f t="shared" si="14"/>
        <v>0</v>
      </c>
      <c r="U73" s="519"/>
    </row>
    <row r="74" spans="1:21" s="37" customFormat="1" hidden="1" x14ac:dyDescent="0.2">
      <c r="A74" s="2"/>
      <c r="B74" s="3" t="s">
        <v>600</v>
      </c>
      <c r="C74" s="937">
        <v>0</v>
      </c>
      <c r="D74" s="937">
        <v>0</v>
      </c>
      <c r="E74" s="937">
        <v>0</v>
      </c>
      <c r="F74" s="937">
        <v>0</v>
      </c>
      <c r="G74" s="937">
        <v>0</v>
      </c>
      <c r="H74" s="937">
        <v>0</v>
      </c>
      <c r="I74" s="937">
        <v>0</v>
      </c>
      <c r="J74" s="937">
        <v>0</v>
      </c>
      <c r="K74" s="937">
        <v>0</v>
      </c>
      <c r="L74" s="937">
        <v>0</v>
      </c>
      <c r="M74" s="937">
        <v>0</v>
      </c>
      <c r="N74" s="937">
        <v>0</v>
      </c>
      <c r="O74" s="937">
        <v>0</v>
      </c>
      <c r="P74" s="937">
        <v>0</v>
      </c>
      <c r="Q74" s="937">
        <v>0</v>
      </c>
      <c r="R74" s="938" t="str">
        <f t="shared" si="13"/>
        <v>Unreserved Opening Balance</v>
      </c>
      <c r="S74" s="938">
        <f t="shared" si="14"/>
        <v>0</v>
      </c>
      <c r="U74" s="519"/>
    </row>
    <row r="75" spans="1:21" s="37" customFormat="1" x14ac:dyDescent="0.2">
      <c r="A75" s="2"/>
      <c r="B75" s="3" t="s">
        <v>304</v>
      </c>
      <c r="C75" s="937">
        <v>1279342</v>
      </c>
      <c r="D75" s="937">
        <v>558126</v>
      </c>
      <c r="E75" s="937">
        <v>71527</v>
      </c>
      <c r="F75" s="937">
        <v>140572</v>
      </c>
      <c r="G75" s="937">
        <v>40356</v>
      </c>
      <c r="H75" s="937">
        <v>50994</v>
      </c>
      <c r="I75" s="937">
        <v>159557</v>
      </c>
      <c r="J75" s="937">
        <v>272751</v>
      </c>
      <c r="K75" s="937">
        <v>0</v>
      </c>
      <c r="L75" s="937">
        <v>0</v>
      </c>
      <c r="M75" s="937">
        <v>0</v>
      </c>
      <c r="N75" s="937">
        <v>0</v>
      </c>
      <c r="O75" s="937">
        <v>0</v>
      </c>
      <c r="P75" s="937">
        <v>45258</v>
      </c>
      <c r="Q75" s="937">
        <v>0</v>
      </c>
      <c r="R75" s="938" t="str">
        <f t="shared" si="13"/>
        <v>Opening Balance (Other)</v>
      </c>
      <c r="S75" s="938">
        <f>SUM(C75:Q75)</f>
        <v>2618483</v>
      </c>
      <c r="U75" s="519"/>
    </row>
    <row r="76" spans="1:21" s="37" customFormat="1" hidden="1" x14ac:dyDescent="0.2">
      <c r="A76" s="2"/>
      <c r="B76" s="3" t="s">
        <v>305</v>
      </c>
      <c r="C76" s="937">
        <v>0</v>
      </c>
      <c r="D76" s="937">
        <v>0</v>
      </c>
      <c r="E76" s="937">
        <v>0</v>
      </c>
      <c r="F76" s="937">
        <v>0</v>
      </c>
      <c r="G76" s="937">
        <v>0</v>
      </c>
      <c r="H76" s="937">
        <v>0</v>
      </c>
      <c r="I76" s="937">
        <v>0</v>
      </c>
      <c r="J76" s="937">
        <v>0</v>
      </c>
      <c r="K76" s="937">
        <v>0</v>
      </c>
      <c r="L76" s="937">
        <v>0</v>
      </c>
      <c r="M76" s="937">
        <v>0</v>
      </c>
      <c r="N76" s="937">
        <v>0</v>
      </c>
      <c r="O76" s="937">
        <v>0</v>
      </c>
      <c r="P76" s="937">
        <v>0</v>
      </c>
      <c r="Q76" s="937">
        <v>0</v>
      </c>
      <c r="R76" s="938" t="str">
        <f t="shared" si="13"/>
        <v>Reverted to State</v>
      </c>
      <c r="S76" s="938">
        <f t="shared" si="14"/>
        <v>0</v>
      </c>
      <c r="U76" s="519"/>
    </row>
    <row r="77" spans="1:21" hidden="1" x14ac:dyDescent="0.2">
      <c r="C77" s="935"/>
      <c r="D77" s="935"/>
      <c r="E77" s="935"/>
      <c r="F77" s="935"/>
      <c r="G77" s="935"/>
      <c r="H77" s="935"/>
      <c r="I77" s="935"/>
      <c r="J77" s="935"/>
      <c r="K77" s="935"/>
      <c r="L77" s="935"/>
      <c r="M77" s="935"/>
      <c r="N77" s="935"/>
      <c r="O77" s="935"/>
      <c r="P77" s="935"/>
      <c r="Q77" s="935"/>
      <c r="R77" s="905"/>
      <c r="S77" s="905"/>
    </row>
    <row r="78" spans="1:21" s="2" customFormat="1" x14ac:dyDescent="0.2">
      <c r="B78" s="39" t="s">
        <v>129</v>
      </c>
      <c r="C78" s="931">
        <f>SUM(C70:C77)</f>
        <v>1279342</v>
      </c>
      <c r="D78" s="931">
        <f t="shared" ref="D78:Q78" si="15">SUM(D70:D77)</f>
        <v>558126</v>
      </c>
      <c r="E78" s="931">
        <f t="shared" si="15"/>
        <v>71527</v>
      </c>
      <c r="F78" s="931">
        <f t="shared" si="15"/>
        <v>140572</v>
      </c>
      <c r="G78" s="931">
        <f t="shared" si="15"/>
        <v>40356</v>
      </c>
      <c r="H78" s="931">
        <f t="shared" si="15"/>
        <v>50994</v>
      </c>
      <c r="I78" s="931">
        <f t="shared" si="15"/>
        <v>159557</v>
      </c>
      <c r="J78" s="931">
        <f t="shared" si="15"/>
        <v>272751</v>
      </c>
      <c r="K78" s="931">
        <f t="shared" si="15"/>
        <v>0</v>
      </c>
      <c r="L78" s="931">
        <f t="shared" si="15"/>
        <v>0</v>
      </c>
      <c r="M78" s="931">
        <f t="shared" si="15"/>
        <v>0</v>
      </c>
      <c r="N78" s="931">
        <f t="shared" si="15"/>
        <v>0</v>
      </c>
      <c r="O78" s="931">
        <f t="shared" si="15"/>
        <v>0</v>
      </c>
      <c r="P78" s="931">
        <f t="shared" si="15"/>
        <v>45258</v>
      </c>
      <c r="Q78" s="931">
        <f t="shared" si="15"/>
        <v>0</v>
      </c>
      <c r="R78" s="931">
        <f>SUM(C78:Q78)</f>
        <v>2618483</v>
      </c>
      <c r="S78" s="903"/>
      <c r="U78" s="53"/>
    </row>
    <row r="80" spans="1:21" x14ac:dyDescent="0.2">
      <c r="A80" s="22"/>
      <c r="B80" s="23" t="s">
        <v>306</v>
      </c>
      <c r="C80" s="24">
        <f>SUM(C78,C69)</f>
        <v>13990260</v>
      </c>
      <c r="D80" s="24">
        <f t="shared" ref="D80:Q80" si="16">SUM(D78,D69)</f>
        <v>1122845</v>
      </c>
      <c r="E80" s="24">
        <f t="shared" si="16"/>
        <v>71627</v>
      </c>
      <c r="F80" s="24">
        <f t="shared" si="16"/>
        <v>452466</v>
      </c>
      <c r="G80" s="24">
        <f t="shared" si="16"/>
        <v>40356</v>
      </c>
      <c r="H80" s="24">
        <f t="shared" si="16"/>
        <v>333594</v>
      </c>
      <c r="I80" s="24">
        <f t="shared" si="16"/>
        <v>1618199</v>
      </c>
      <c r="J80" s="24">
        <f t="shared" si="16"/>
        <v>1691511</v>
      </c>
      <c r="K80" s="24">
        <f t="shared" si="16"/>
        <v>244000</v>
      </c>
      <c r="L80" s="24">
        <f t="shared" si="16"/>
        <v>61000</v>
      </c>
      <c r="M80" s="24">
        <f t="shared" si="16"/>
        <v>308000</v>
      </c>
      <c r="N80" s="24">
        <f t="shared" si="16"/>
        <v>700000</v>
      </c>
      <c r="O80" s="24">
        <f t="shared" si="16"/>
        <v>44350</v>
      </c>
      <c r="P80" s="24">
        <f t="shared" si="16"/>
        <v>75258</v>
      </c>
      <c r="Q80" s="24">
        <f t="shared" si="16"/>
        <v>-1772000</v>
      </c>
      <c r="R80" s="944">
        <f>SUM(C80:Q80)</f>
        <v>18981466</v>
      </c>
      <c r="S80" s="912">
        <f>F1-R80</f>
        <v>0</v>
      </c>
      <c r="T80" s="17"/>
    </row>
    <row r="81" spans="1:21" s="2" customFormat="1" x14ac:dyDescent="0.2">
      <c r="A81" s="27"/>
      <c r="B81" s="28" t="s">
        <v>131</v>
      </c>
      <c r="C81" s="285">
        <f t="shared" ref="C81:Q81" si="17">SUM(C85:C220)</f>
        <v>13990260</v>
      </c>
      <c r="D81" s="285">
        <f t="shared" si="17"/>
        <v>1122845</v>
      </c>
      <c r="E81" s="285">
        <f t="shared" si="17"/>
        <v>71627</v>
      </c>
      <c r="F81" s="285">
        <f t="shared" si="17"/>
        <v>452466</v>
      </c>
      <c r="G81" s="285">
        <f t="shared" si="17"/>
        <v>40356</v>
      </c>
      <c r="H81" s="285">
        <f t="shared" si="17"/>
        <v>333594</v>
      </c>
      <c r="I81" s="285">
        <f t="shared" si="17"/>
        <v>1618199</v>
      </c>
      <c r="J81" s="285">
        <f t="shared" si="17"/>
        <v>1691511</v>
      </c>
      <c r="K81" s="285">
        <f t="shared" si="17"/>
        <v>244000</v>
      </c>
      <c r="L81" s="285">
        <f t="shared" si="17"/>
        <v>61000</v>
      </c>
      <c r="M81" s="285">
        <f t="shared" si="17"/>
        <v>308000</v>
      </c>
      <c r="N81" s="285">
        <f t="shared" si="17"/>
        <v>700000</v>
      </c>
      <c r="O81" s="285">
        <f t="shared" si="17"/>
        <v>44350</v>
      </c>
      <c r="P81" s="285">
        <f t="shared" si="17"/>
        <v>75258</v>
      </c>
      <c r="Q81" s="285">
        <f t="shared" si="17"/>
        <v>-1772000</v>
      </c>
      <c r="R81" s="522">
        <f>SUM(C81:Q81)</f>
        <v>18981466</v>
      </c>
      <c r="U81" s="53"/>
    </row>
    <row r="82" spans="1:21" x14ac:dyDescent="0.2">
      <c r="A82" s="30"/>
      <c r="B82" s="286" t="s">
        <v>132</v>
      </c>
      <c r="C82" s="909">
        <f t="shared" ref="C82:R82" si="18">C80-C81</f>
        <v>0</v>
      </c>
      <c r="D82" s="909">
        <f t="shared" si="18"/>
        <v>0</v>
      </c>
      <c r="E82" s="909">
        <f t="shared" si="18"/>
        <v>0</v>
      </c>
      <c r="F82" s="909">
        <f t="shared" si="18"/>
        <v>0</v>
      </c>
      <c r="G82" s="909">
        <f t="shared" si="18"/>
        <v>0</v>
      </c>
      <c r="H82" s="909">
        <f t="shared" si="18"/>
        <v>0</v>
      </c>
      <c r="I82" s="909">
        <f t="shared" si="18"/>
        <v>0</v>
      </c>
      <c r="J82" s="909">
        <f t="shared" si="18"/>
        <v>0</v>
      </c>
      <c r="K82" s="909">
        <f>K80-K81</f>
        <v>0</v>
      </c>
      <c r="L82" s="909">
        <f t="shared" ref="L82" si="19">L80-L81</f>
        <v>0</v>
      </c>
      <c r="M82" s="909">
        <f>M80-M81</f>
        <v>0</v>
      </c>
      <c r="N82" s="909">
        <f>N80-N81</f>
        <v>0</v>
      </c>
      <c r="O82" s="909">
        <f t="shared" si="18"/>
        <v>0</v>
      </c>
      <c r="P82" s="909">
        <f t="shared" si="18"/>
        <v>0</v>
      </c>
      <c r="Q82" s="909">
        <f>Q80-Q81</f>
        <v>0</v>
      </c>
      <c r="R82" s="522">
        <f t="shared" si="18"/>
        <v>0</v>
      </c>
    </row>
    <row r="84" spans="1:21" x14ac:dyDescent="0.2">
      <c r="B84" s="2" t="s">
        <v>307</v>
      </c>
    </row>
    <row r="85" spans="1:21" x14ac:dyDescent="0.2">
      <c r="A85" s="2">
        <v>100</v>
      </c>
      <c r="B85" s="3" t="s">
        <v>134</v>
      </c>
      <c r="C85" s="935">
        <v>4958130</v>
      </c>
      <c r="D85" s="935">
        <v>0</v>
      </c>
      <c r="E85" s="935">
        <v>0</v>
      </c>
      <c r="F85" s="935">
        <v>0</v>
      </c>
      <c r="G85" s="935">
        <v>0</v>
      </c>
      <c r="H85" s="935">
        <v>0</v>
      </c>
      <c r="I85" s="935">
        <v>0</v>
      </c>
      <c r="J85" s="935">
        <v>702228</v>
      </c>
      <c r="K85" s="935">
        <v>0</v>
      </c>
      <c r="L85" s="935">
        <v>0</v>
      </c>
      <c r="M85" s="935">
        <v>308000</v>
      </c>
      <c r="N85" s="935">
        <v>691075</v>
      </c>
      <c r="O85" s="935">
        <v>0</v>
      </c>
      <c r="P85" s="935">
        <v>0</v>
      </c>
      <c r="Q85" s="935">
        <v>0</v>
      </c>
      <c r="R85" s="935">
        <f t="shared" ref="R85:R129" si="20">SUM(C85:Q85)</f>
        <v>6659433</v>
      </c>
    </row>
    <row r="86" spans="1:21" x14ac:dyDescent="0.2">
      <c r="A86" s="2">
        <v>200</v>
      </c>
      <c r="B86" s="3" t="s">
        <v>135</v>
      </c>
      <c r="C86" s="935">
        <v>0</v>
      </c>
      <c r="D86" s="935">
        <v>0</v>
      </c>
      <c r="E86" s="935">
        <v>0</v>
      </c>
      <c r="F86" s="935">
        <v>0</v>
      </c>
      <c r="G86" s="935">
        <v>0</v>
      </c>
      <c r="H86" s="935">
        <v>0</v>
      </c>
      <c r="I86" s="935">
        <v>1284050</v>
      </c>
      <c r="J86" s="935">
        <v>0</v>
      </c>
      <c r="K86" s="935">
        <v>0</v>
      </c>
      <c r="L86" s="935">
        <v>0</v>
      </c>
      <c r="M86" s="935">
        <v>0</v>
      </c>
      <c r="N86" s="935">
        <v>8925</v>
      </c>
      <c r="O86" s="935">
        <v>0</v>
      </c>
      <c r="P86" s="935">
        <v>0</v>
      </c>
      <c r="Q86" s="935">
        <v>0</v>
      </c>
      <c r="R86" s="935">
        <f t="shared" si="20"/>
        <v>1292975</v>
      </c>
    </row>
    <row r="87" spans="1:21" hidden="1" x14ac:dyDescent="0.2">
      <c r="A87" s="2" t="s">
        <v>10</v>
      </c>
      <c r="B87" s="3" t="s">
        <v>136</v>
      </c>
      <c r="C87" s="935">
        <v>0</v>
      </c>
      <c r="D87" s="935">
        <v>0</v>
      </c>
      <c r="E87" s="935">
        <v>0</v>
      </c>
      <c r="F87" s="935">
        <v>0</v>
      </c>
      <c r="G87" s="935">
        <v>0</v>
      </c>
      <c r="H87" s="935">
        <v>0</v>
      </c>
      <c r="I87" s="935">
        <v>0</v>
      </c>
      <c r="J87" s="935">
        <v>0</v>
      </c>
      <c r="K87" s="935">
        <v>0</v>
      </c>
      <c r="L87" s="935">
        <v>0</v>
      </c>
      <c r="M87" s="935">
        <v>0</v>
      </c>
      <c r="N87" s="935">
        <v>0</v>
      </c>
      <c r="O87" s="935">
        <v>0</v>
      </c>
      <c r="P87" s="935">
        <v>0</v>
      </c>
      <c r="Q87" s="935">
        <v>0</v>
      </c>
      <c r="R87" s="935">
        <f t="shared" si="20"/>
        <v>0</v>
      </c>
    </row>
    <row r="88" spans="1:21" hidden="1" x14ac:dyDescent="0.2">
      <c r="A88" s="2">
        <v>270</v>
      </c>
      <c r="B88" s="3" t="s">
        <v>137</v>
      </c>
      <c r="C88" s="935">
        <v>0</v>
      </c>
      <c r="D88" s="935">
        <v>0</v>
      </c>
      <c r="E88" s="935">
        <v>0</v>
      </c>
      <c r="F88" s="935">
        <v>0</v>
      </c>
      <c r="G88" s="935">
        <v>0</v>
      </c>
      <c r="H88" s="935">
        <v>0</v>
      </c>
      <c r="I88" s="935">
        <v>0</v>
      </c>
      <c r="J88" s="935">
        <v>0</v>
      </c>
      <c r="K88" s="935">
        <v>0</v>
      </c>
      <c r="L88" s="935">
        <v>0</v>
      </c>
      <c r="M88" s="935">
        <v>0</v>
      </c>
      <c r="N88" s="935">
        <v>0</v>
      </c>
      <c r="O88" s="935">
        <v>0</v>
      </c>
      <c r="P88" s="935">
        <v>0</v>
      </c>
      <c r="Q88" s="935">
        <v>0</v>
      </c>
      <c r="R88" s="935">
        <f t="shared" si="20"/>
        <v>0</v>
      </c>
    </row>
    <row r="89" spans="1:21" hidden="1" x14ac:dyDescent="0.2">
      <c r="A89" s="2" t="s">
        <v>10</v>
      </c>
      <c r="B89" s="3" t="s">
        <v>138</v>
      </c>
      <c r="C89" s="935">
        <v>0</v>
      </c>
      <c r="D89" s="935">
        <v>0</v>
      </c>
      <c r="E89" s="935">
        <v>0</v>
      </c>
      <c r="F89" s="935">
        <v>0</v>
      </c>
      <c r="G89" s="935">
        <v>0</v>
      </c>
      <c r="H89" s="935">
        <v>0</v>
      </c>
      <c r="I89" s="935">
        <v>0</v>
      </c>
      <c r="J89" s="935">
        <v>0</v>
      </c>
      <c r="K89" s="935">
        <v>0</v>
      </c>
      <c r="L89" s="935">
        <v>0</v>
      </c>
      <c r="M89" s="935">
        <v>0</v>
      </c>
      <c r="N89" s="935">
        <v>0</v>
      </c>
      <c r="O89" s="935">
        <v>0</v>
      </c>
      <c r="P89" s="935">
        <v>0</v>
      </c>
      <c r="Q89" s="935">
        <v>0</v>
      </c>
      <c r="R89" s="935">
        <f t="shared" si="20"/>
        <v>0</v>
      </c>
    </row>
    <row r="90" spans="1:21" x14ac:dyDescent="0.2">
      <c r="A90" s="2">
        <v>300</v>
      </c>
      <c r="B90" s="3" t="s">
        <v>139</v>
      </c>
      <c r="C90" s="935">
        <v>791089</v>
      </c>
      <c r="D90" s="935">
        <v>0</v>
      </c>
      <c r="E90" s="935">
        <v>0</v>
      </c>
      <c r="F90" s="935">
        <v>0</v>
      </c>
      <c r="G90" s="935">
        <v>0</v>
      </c>
      <c r="H90" s="935">
        <v>0</v>
      </c>
      <c r="I90" s="935">
        <v>0</v>
      </c>
      <c r="J90" s="935">
        <v>280830</v>
      </c>
      <c r="K90" s="935">
        <v>0</v>
      </c>
      <c r="L90" s="935">
        <v>0</v>
      </c>
      <c r="M90" s="935">
        <v>0</v>
      </c>
      <c r="N90" s="935">
        <v>0</v>
      </c>
      <c r="O90" s="935">
        <v>0</v>
      </c>
      <c r="P90" s="935">
        <v>0</v>
      </c>
      <c r="Q90" s="935">
        <v>0</v>
      </c>
      <c r="R90" s="935">
        <f t="shared" si="20"/>
        <v>1071919</v>
      </c>
    </row>
    <row r="91" spans="1:21" x14ac:dyDescent="0.2">
      <c r="A91" s="2">
        <v>400</v>
      </c>
      <c r="B91" s="3" t="s">
        <v>140</v>
      </c>
      <c r="C91" s="935">
        <v>0</v>
      </c>
      <c r="D91" s="935">
        <v>0</v>
      </c>
      <c r="E91" s="935">
        <v>0</v>
      </c>
      <c r="F91" s="935">
        <v>0</v>
      </c>
      <c r="G91" s="935">
        <v>0</v>
      </c>
      <c r="H91" s="935">
        <v>0</v>
      </c>
      <c r="I91" s="935">
        <v>0</v>
      </c>
      <c r="J91" s="935">
        <v>0</v>
      </c>
      <c r="K91" s="935">
        <v>0</v>
      </c>
      <c r="L91" s="935">
        <v>0</v>
      </c>
      <c r="M91" s="935">
        <v>0</v>
      </c>
      <c r="N91" s="935">
        <v>0</v>
      </c>
      <c r="O91" s="935">
        <v>44350</v>
      </c>
      <c r="P91" s="935">
        <v>0</v>
      </c>
      <c r="Q91" s="935">
        <v>0</v>
      </c>
      <c r="R91" s="935">
        <f t="shared" si="20"/>
        <v>44350</v>
      </c>
    </row>
    <row r="92" spans="1:21" hidden="1" x14ac:dyDescent="0.2">
      <c r="A92" s="2" t="s">
        <v>10</v>
      </c>
      <c r="B92" s="3" t="s">
        <v>141</v>
      </c>
      <c r="C92" s="935">
        <v>0</v>
      </c>
      <c r="D92" s="935">
        <v>0</v>
      </c>
      <c r="E92" s="935">
        <v>0</v>
      </c>
      <c r="F92" s="935">
        <v>0</v>
      </c>
      <c r="G92" s="935">
        <v>0</v>
      </c>
      <c r="H92" s="935">
        <v>0</v>
      </c>
      <c r="I92" s="935">
        <v>0</v>
      </c>
      <c r="J92" s="935">
        <v>0</v>
      </c>
      <c r="K92" s="935">
        <v>0</v>
      </c>
      <c r="L92" s="935">
        <v>0</v>
      </c>
      <c r="M92" s="935">
        <v>0</v>
      </c>
      <c r="N92" s="935">
        <v>0</v>
      </c>
      <c r="O92" s="935">
        <v>0</v>
      </c>
      <c r="P92" s="935">
        <v>0</v>
      </c>
      <c r="Q92" s="935">
        <v>0</v>
      </c>
      <c r="R92" s="935">
        <f t="shared" si="20"/>
        <v>0</v>
      </c>
    </row>
    <row r="93" spans="1:21" hidden="1" x14ac:dyDescent="0.2">
      <c r="A93" s="2" t="s">
        <v>10</v>
      </c>
      <c r="B93" s="3" t="s">
        <v>142</v>
      </c>
      <c r="C93" s="935">
        <v>0</v>
      </c>
      <c r="D93" s="935">
        <v>0</v>
      </c>
      <c r="E93" s="935">
        <v>0</v>
      </c>
      <c r="F93" s="935">
        <v>0</v>
      </c>
      <c r="G93" s="935">
        <v>0</v>
      </c>
      <c r="H93" s="935">
        <v>0</v>
      </c>
      <c r="I93" s="935">
        <v>0</v>
      </c>
      <c r="J93" s="935">
        <v>0</v>
      </c>
      <c r="K93" s="935">
        <v>0</v>
      </c>
      <c r="L93" s="935">
        <v>0</v>
      </c>
      <c r="M93" s="935">
        <v>0</v>
      </c>
      <c r="N93" s="935">
        <v>0</v>
      </c>
      <c r="O93" s="935">
        <v>0</v>
      </c>
      <c r="P93" s="935">
        <v>0</v>
      </c>
      <c r="Q93" s="935">
        <v>0</v>
      </c>
      <c r="R93" s="935">
        <f t="shared" si="20"/>
        <v>0</v>
      </c>
    </row>
    <row r="94" spans="1:21" hidden="1" x14ac:dyDescent="0.2">
      <c r="A94" s="2">
        <v>430</v>
      </c>
      <c r="B94" s="3" t="s">
        <v>548</v>
      </c>
      <c r="C94" s="935">
        <v>0</v>
      </c>
      <c r="D94" s="935">
        <v>0</v>
      </c>
      <c r="E94" s="935">
        <v>0</v>
      </c>
      <c r="F94" s="935">
        <v>0</v>
      </c>
      <c r="G94" s="935">
        <v>0</v>
      </c>
      <c r="H94" s="935">
        <v>0</v>
      </c>
      <c r="I94" s="935">
        <v>0</v>
      </c>
      <c r="J94" s="935">
        <v>0</v>
      </c>
      <c r="K94" s="935">
        <v>0</v>
      </c>
      <c r="L94" s="935">
        <v>0</v>
      </c>
      <c r="M94" s="935">
        <v>0</v>
      </c>
      <c r="N94" s="935">
        <v>0</v>
      </c>
      <c r="O94" s="935">
        <v>0</v>
      </c>
      <c r="P94" s="935">
        <v>0</v>
      </c>
      <c r="Q94" s="935">
        <v>0</v>
      </c>
      <c r="R94" s="935">
        <f t="shared" si="20"/>
        <v>0</v>
      </c>
    </row>
    <row r="95" spans="1:21" hidden="1" x14ac:dyDescent="0.2">
      <c r="A95" s="2">
        <v>440</v>
      </c>
      <c r="B95" s="3" t="s">
        <v>143</v>
      </c>
      <c r="C95" s="935">
        <v>0</v>
      </c>
      <c r="D95" s="935">
        <v>0</v>
      </c>
      <c r="E95" s="935">
        <v>0</v>
      </c>
      <c r="F95" s="935">
        <v>0</v>
      </c>
      <c r="G95" s="935">
        <v>0</v>
      </c>
      <c r="H95" s="935">
        <v>0</v>
      </c>
      <c r="I95" s="935">
        <v>0</v>
      </c>
      <c r="J95" s="935">
        <v>0</v>
      </c>
      <c r="K95" s="935">
        <v>0</v>
      </c>
      <c r="L95" s="935">
        <v>0</v>
      </c>
      <c r="M95" s="935">
        <v>0</v>
      </c>
      <c r="N95" s="935">
        <v>0</v>
      </c>
      <c r="O95" s="935">
        <v>0</v>
      </c>
      <c r="P95" s="935">
        <v>0</v>
      </c>
      <c r="Q95" s="935">
        <v>0</v>
      </c>
      <c r="R95" s="935">
        <f t="shared" si="20"/>
        <v>0</v>
      </c>
    </row>
    <row r="96" spans="1:21" hidden="1" x14ac:dyDescent="0.2">
      <c r="A96" s="2">
        <v>500</v>
      </c>
      <c r="B96" s="3" t="s">
        <v>144</v>
      </c>
      <c r="C96" s="935">
        <v>0</v>
      </c>
      <c r="D96" s="935">
        <v>0</v>
      </c>
      <c r="E96" s="935">
        <v>0</v>
      </c>
      <c r="F96" s="935">
        <v>0</v>
      </c>
      <c r="G96" s="935">
        <v>0</v>
      </c>
      <c r="H96" s="935">
        <v>0</v>
      </c>
      <c r="I96" s="935">
        <v>0</v>
      </c>
      <c r="J96" s="935">
        <v>0</v>
      </c>
      <c r="K96" s="935">
        <v>0</v>
      </c>
      <c r="L96" s="935">
        <v>0</v>
      </c>
      <c r="M96" s="935">
        <v>0</v>
      </c>
      <c r="N96" s="935">
        <v>0</v>
      </c>
      <c r="O96" s="935">
        <v>0</v>
      </c>
      <c r="P96" s="935">
        <v>0</v>
      </c>
      <c r="Q96" s="935">
        <v>0</v>
      </c>
      <c r="R96" s="935">
        <f t="shared" si="20"/>
        <v>0</v>
      </c>
    </row>
    <row r="97" spans="1:21" x14ac:dyDescent="0.2">
      <c r="A97" s="2">
        <v>600</v>
      </c>
      <c r="B97" s="3" t="s">
        <v>145</v>
      </c>
      <c r="C97" s="935">
        <v>0</v>
      </c>
      <c r="D97" s="935">
        <v>0</v>
      </c>
      <c r="E97" s="935">
        <v>0</v>
      </c>
      <c r="F97" s="935">
        <v>0</v>
      </c>
      <c r="G97" s="935">
        <v>0</v>
      </c>
      <c r="H97" s="935">
        <v>0</v>
      </c>
      <c r="I97" s="935">
        <v>0</v>
      </c>
      <c r="J97" s="935">
        <v>0</v>
      </c>
      <c r="K97" s="935">
        <v>244000</v>
      </c>
      <c r="L97" s="935">
        <v>61000</v>
      </c>
      <c r="M97" s="935">
        <v>0</v>
      </c>
      <c r="N97" s="935">
        <v>0</v>
      </c>
      <c r="O97" s="935">
        <v>0</v>
      </c>
      <c r="P97" s="935">
        <v>0</v>
      </c>
      <c r="Q97" s="935">
        <v>0</v>
      </c>
      <c r="R97" s="935">
        <f t="shared" si="20"/>
        <v>305000</v>
      </c>
    </row>
    <row r="98" spans="1:21" hidden="1" x14ac:dyDescent="0.2">
      <c r="A98" s="2">
        <v>800</v>
      </c>
      <c r="B98" s="3" t="s">
        <v>146</v>
      </c>
      <c r="C98" s="935">
        <v>0</v>
      </c>
      <c r="D98" s="935">
        <v>0</v>
      </c>
      <c r="E98" s="935">
        <v>0</v>
      </c>
      <c r="F98" s="935">
        <v>0</v>
      </c>
      <c r="G98" s="935">
        <v>0</v>
      </c>
      <c r="H98" s="935">
        <v>0</v>
      </c>
      <c r="I98" s="935">
        <v>0</v>
      </c>
      <c r="J98" s="935">
        <v>0</v>
      </c>
      <c r="K98" s="935">
        <v>0</v>
      </c>
      <c r="L98" s="935">
        <v>0</v>
      </c>
      <c r="M98" s="935">
        <v>0</v>
      </c>
      <c r="N98" s="935">
        <v>0</v>
      </c>
      <c r="O98" s="935">
        <v>0</v>
      </c>
      <c r="P98" s="935">
        <v>0</v>
      </c>
      <c r="Q98" s="935">
        <v>0</v>
      </c>
      <c r="R98" s="935">
        <f t="shared" si="20"/>
        <v>0</v>
      </c>
    </row>
    <row r="99" spans="1:21" x14ac:dyDescent="0.2">
      <c r="A99" s="2">
        <v>910</v>
      </c>
      <c r="B99" s="3" t="s">
        <v>147</v>
      </c>
      <c r="C99" s="935">
        <v>2000</v>
      </c>
      <c r="D99" s="935">
        <v>0</v>
      </c>
      <c r="E99" s="935">
        <v>0</v>
      </c>
      <c r="F99" s="935">
        <v>0</v>
      </c>
      <c r="G99" s="935">
        <v>0</v>
      </c>
      <c r="H99" s="935">
        <v>0</v>
      </c>
      <c r="I99" s="935">
        <v>0</v>
      </c>
      <c r="J99" s="935">
        <v>0</v>
      </c>
      <c r="K99" s="935">
        <v>0</v>
      </c>
      <c r="L99" s="935">
        <v>0</v>
      </c>
      <c r="M99" s="935">
        <v>0</v>
      </c>
      <c r="N99" s="935">
        <v>0</v>
      </c>
      <c r="O99" s="935">
        <v>0</v>
      </c>
      <c r="P99" s="935">
        <v>0</v>
      </c>
      <c r="Q99" s="935">
        <v>0</v>
      </c>
      <c r="R99" s="935">
        <f t="shared" si="20"/>
        <v>2000</v>
      </c>
    </row>
    <row r="100" spans="1:21" x14ac:dyDescent="0.2">
      <c r="A100" s="2">
        <v>920</v>
      </c>
      <c r="B100" s="3" t="s">
        <v>148</v>
      </c>
      <c r="C100" s="935">
        <v>234803</v>
      </c>
      <c r="D100" s="935">
        <v>0</v>
      </c>
      <c r="E100" s="935">
        <v>0</v>
      </c>
      <c r="F100" s="935">
        <v>0</v>
      </c>
      <c r="G100" s="935">
        <v>0</v>
      </c>
      <c r="H100" s="935">
        <v>0</v>
      </c>
      <c r="I100" s="935">
        <v>0</v>
      </c>
      <c r="J100" s="935">
        <v>34851</v>
      </c>
      <c r="K100" s="935">
        <v>0</v>
      </c>
      <c r="L100" s="935">
        <v>0</v>
      </c>
      <c r="M100" s="935">
        <v>0</v>
      </c>
      <c r="N100" s="935">
        <v>0</v>
      </c>
      <c r="O100" s="935">
        <v>0</v>
      </c>
      <c r="P100" s="935">
        <v>0</v>
      </c>
      <c r="Q100" s="935">
        <v>0</v>
      </c>
      <c r="R100" s="935">
        <f t="shared" si="20"/>
        <v>269654</v>
      </c>
      <c r="U100"/>
    </row>
    <row r="101" spans="1:21" x14ac:dyDescent="0.2">
      <c r="C101" s="935"/>
      <c r="D101" s="935"/>
      <c r="E101" s="935"/>
      <c r="F101" s="935"/>
      <c r="G101" s="935"/>
      <c r="H101" s="935"/>
      <c r="I101" s="935"/>
      <c r="J101" s="935"/>
      <c r="K101" s="935"/>
      <c r="L101" s="935"/>
      <c r="M101" s="935"/>
      <c r="N101" s="935"/>
      <c r="O101" s="935"/>
      <c r="P101" s="935"/>
      <c r="Q101" s="935"/>
      <c r="R101" s="935">
        <f t="shared" si="20"/>
        <v>0</v>
      </c>
      <c r="U101"/>
    </row>
    <row r="102" spans="1:21" x14ac:dyDescent="0.2">
      <c r="A102" s="2" t="s">
        <v>149</v>
      </c>
      <c r="B102" s="2" t="s">
        <v>150</v>
      </c>
      <c r="C102" s="935"/>
      <c r="D102" s="935"/>
      <c r="E102" s="935"/>
      <c r="F102" s="935"/>
      <c r="G102" s="935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>
        <f t="shared" si="20"/>
        <v>0</v>
      </c>
      <c r="U102"/>
    </row>
    <row r="103" spans="1:21" x14ac:dyDescent="0.2">
      <c r="A103" s="2">
        <v>2100</v>
      </c>
      <c r="B103" s="3" t="s">
        <v>151</v>
      </c>
      <c r="C103" s="935">
        <v>194000</v>
      </c>
      <c r="D103" s="935">
        <v>0</v>
      </c>
      <c r="E103" s="935">
        <v>0</v>
      </c>
      <c r="F103" s="935">
        <v>0</v>
      </c>
      <c r="G103" s="935">
        <v>0</v>
      </c>
      <c r="H103" s="935">
        <v>0</v>
      </c>
      <c r="I103" s="935">
        <v>0</v>
      </c>
      <c r="J103" s="935">
        <v>0</v>
      </c>
      <c r="K103" s="935">
        <v>0</v>
      </c>
      <c r="L103" s="935">
        <v>0</v>
      </c>
      <c r="M103" s="935">
        <v>0</v>
      </c>
      <c r="N103" s="935">
        <v>0</v>
      </c>
      <c r="O103" s="935">
        <v>0</v>
      </c>
      <c r="P103" s="935">
        <v>0</v>
      </c>
      <c r="Q103" s="935">
        <v>0</v>
      </c>
      <c r="R103" s="935">
        <f t="shared" si="20"/>
        <v>194000</v>
      </c>
      <c r="U103"/>
    </row>
    <row r="104" spans="1:21" x14ac:dyDescent="0.2">
      <c r="A104" s="2">
        <v>2200</v>
      </c>
      <c r="B104" s="3" t="s">
        <v>152</v>
      </c>
      <c r="C104" s="935">
        <v>6375</v>
      </c>
      <c r="D104" s="935">
        <v>0</v>
      </c>
      <c r="E104" s="935">
        <v>0</v>
      </c>
      <c r="F104" s="935">
        <v>0</v>
      </c>
      <c r="G104" s="935">
        <v>0</v>
      </c>
      <c r="H104" s="935">
        <v>0</v>
      </c>
      <c r="I104" s="935">
        <v>0</v>
      </c>
      <c r="J104" s="935">
        <v>500</v>
      </c>
      <c r="K104" s="935">
        <v>0</v>
      </c>
      <c r="L104" s="935">
        <v>0</v>
      </c>
      <c r="M104" s="935">
        <v>0</v>
      </c>
      <c r="N104" s="935">
        <v>0</v>
      </c>
      <c r="O104" s="935">
        <v>0</v>
      </c>
      <c r="P104" s="935">
        <v>0</v>
      </c>
      <c r="Q104" s="935">
        <v>0</v>
      </c>
      <c r="R104" s="935">
        <f t="shared" si="20"/>
        <v>6875</v>
      </c>
      <c r="U104"/>
    </row>
    <row r="105" spans="1:21" x14ac:dyDescent="0.2">
      <c r="A105" s="2">
        <v>2300</v>
      </c>
      <c r="B105" s="3" t="s">
        <v>153</v>
      </c>
      <c r="C105" s="935">
        <v>1821664</v>
      </c>
      <c r="D105" s="935">
        <v>0</v>
      </c>
      <c r="E105" s="935">
        <v>0</v>
      </c>
      <c r="F105" s="935">
        <v>0</v>
      </c>
      <c r="G105" s="935">
        <v>0</v>
      </c>
      <c r="H105" s="935">
        <v>0</v>
      </c>
      <c r="I105" s="935">
        <v>0</v>
      </c>
      <c r="J105" s="935">
        <v>0</v>
      </c>
      <c r="K105" s="935">
        <v>0</v>
      </c>
      <c r="L105" s="935">
        <v>0</v>
      </c>
      <c r="M105" s="935">
        <v>0</v>
      </c>
      <c r="N105" s="935">
        <v>0</v>
      </c>
      <c r="O105" s="935">
        <v>0</v>
      </c>
      <c r="P105" s="935">
        <v>0</v>
      </c>
      <c r="Q105" s="935">
        <v>0</v>
      </c>
      <c r="R105" s="935">
        <f t="shared" si="20"/>
        <v>1821664</v>
      </c>
      <c r="U105"/>
    </row>
    <row r="106" spans="1:21" x14ac:dyDescent="0.2">
      <c r="A106" s="2">
        <v>2400</v>
      </c>
      <c r="B106" s="3" t="s">
        <v>154</v>
      </c>
      <c r="C106" s="935">
        <v>1747596</v>
      </c>
      <c r="D106" s="935">
        <v>0</v>
      </c>
      <c r="E106" s="935">
        <v>0</v>
      </c>
      <c r="F106" s="935">
        <v>0</v>
      </c>
      <c r="G106" s="935">
        <v>0</v>
      </c>
      <c r="H106" s="935">
        <v>0</v>
      </c>
      <c r="I106" s="935">
        <v>0</v>
      </c>
      <c r="J106" s="935">
        <v>236039</v>
      </c>
      <c r="K106" s="935">
        <v>0</v>
      </c>
      <c r="L106" s="935">
        <v>0</v>
      </c>
      <c r="M106" s="935">
        <v>0</v>
      </c>
      <c r="N106" s="935">
        <v>0</v>
      </c>
      <c r="O106" s="935">
        <v>0</v>
      </c>
      <c r="P106" s="935">
        <v>0</v>
      </c>
      <c r="Q106" s="935">
        <v>0</v>
      </c>
      <c r="R106" s="935">
        <f t="shared" si="20"/>
        <v>1983635</v>
      </c>
      <c r="U106"/>
    </row>
    <row r="107" spans="1:21" hidden="1" x14ac:dyDescent="0.2">
      <c r="A107" s="2">
        <v>2500</v>
      </c>
      <c r="B107" s="3" t="s">
        <v>155</v>
      </c>
      <c r="C107" s="935">
        <v>0</v>
      </c>
      <c r="D107" s="935">
        <v>0</v>
      </c>
      <c r="E107" s="935">
        <v>0</v>
      </c>
      <c r="F107" s="935">
        <v>0</v>
      </c>
      <c r="G107" s="935">
        <v>0</v>
      </c>
      <c r="H107" s="935">
        <v>0</v>
      </c>
      <c r="I107" s="935">
        <v>0</v>
      </c>
      <c r="J107" s="935">
        <v>0</v>
      </c>
      <c r="K107" s="935">
        <v>0</v>
      </c>
      <c r="L107" s="935">
        <v>0</v>
      </c>
      <c r="M107" s="935">
        <v>0</v>
      </c>
      <c r="N107" s="935">
        <v>0</v>
      </c>
      <c r="O107" s="935">
        <v>0</v>
      </c>
      <c r="P107" s="935">
        <v>0</v>
      </c>
      <c r="Q107" s="935">
        <v>0</v>
      </c>
      <c r="R107" s="935">
        <f t="shared" si="20"/>
        <v>0</v>
      </c>
      <c r="U107"/>
    </row>
    <row r="108" spans="1:21" x14ac:dyDescent="0.2">
      <c r="A108" s="2">
        <v>2600</v>
      </c>
      <c r="B108" s="3" t="s">
        <v>156</v>
      </c>
      <c r="C108" s="935">
        <v>1361649</v>
      </c>
      <c r="D108" s="935">
        <v>0</v>
      </c>
      <c r="E108" s="935">
        <v>0</v>
      </c>
      <c r="F108" s="935">
        <v>0</v>
      </c>
      <c r="G108" s="935">
        <v>0</v>
      </c>
      <c r="H108" s="935">
        <v>0</v>
      </c>
      <c r="I108" s="935">
        <v>0</v>
      </c>
      <c r="J108" s="935">
        <v>89248</v>
      </c>
      <c r="K108" s="935">
        <v>0</v>
      </c>
      <c r="L108" s="935">
        <v>0</v>
      </c>
      <c r="M108" s="935">
        <v>0</v>
      </c>
      <c r="N108" s="935">
        <v>0</v>
      </c>
      <c r="O108" s="935">
        <v>0</v>
      </c>
      <c r="P108" s="935">
        <v>0</v>
      </c>
      <c r="Q108" s="935">
        <v>0</v>
      </c>
      <c r="R108" s="935">
        <f t="shared" si="20"/>
        <v>1450897</v>
      </c>
      <c r="U108"/>
    </row>
    <row r="109" spans="1:21" x14ac:dyDescent="0.2">
      <c r="A109" s="2">
        <v>2700</v>
      </c>
      <c r="B109" s="3" t="s">
        <v>157</v>
      </c>
      <c r="C109" s="935">
        <v>702310</v>
      </c>
      <c r="D109" s="935">
        <v>0</v>
      </c>
      <c r="E109" s="935">
        <v>0</v>
      </c>
      <c r="F109" s="935">
        <v>0</v>
      </c>
      <c r="G109" s="935">
        <v>0</v>
      </c>
      <c r="H109" s="935">
        <v>0</v>
      </c>
      <c r="I109" s="935">
        <v>0</v>
      </c>
      <c r="J109" s="935">
        <v>0</v>
      </c>
      <c r="K109" s="935">
        <v>0</v>
      </c>
      <c r="L109" s="935">
        <v>0</v>
      </c>
      <c r="M109" s="935">
        <v>0</v>
      </c>
      <c r="N109" s="935">
        <v>0</v>
      </c>
      <c r="O109" s="935">
        <v>0</v>
      </c>
      <c r="P109" s="935">
        <v>0</v>
      </c>
      <c r="Q109" s="935">
        <v>0</v>
      </c>
      <c r="R109" s="935">
        <f t="shared" si="20"/>
        <v>702310</v>
      </c>
      <c r="U109"/>
    </row>
    <row r="110" spans="1:21" hidden="1" x14ac:dyDescent="0.2">
      <c r="A110" s="2">
        <v>2900</v>
      </c>
      <c r="B110" s="3" t="s">
        <v>158</v>
      </c>
      <c r="C110" s="935">
        <v>0</v>
      </c>
      <c r="D110" s="935">
        <v>0</v>
      </c>
      <c r="E110" s="935">
        <v>0</v>
      </c>
      <c r="F110" s="935">
        <v>0</v>
      </c>
      <c r="G110" s="935">
        <v>0</v>
      </c>
      <c r="H110" s="935">
        <v>0</v>
      </c>
      <c r="I110" s="935">
        <v>0</v>
      </c>
      <c r="J110" s="935">
        <v>0</v>
      </c>
      <c r="K110" s="935">
        <v>0</v>
      </c>
      <c r="L110" s="935">
        <v>0</v>
      </c>
      <c r="M110" s="935">
        <v>0</v>
      </c>
      <c r="N110" s="935">
        <v>0</v>
      </c>
      <c r="O110" s="935">
        <v>0</v>
      </c>
      <c r="P110" s="935">
        <v>0</v>
      </c>
      <c r="Q110" s="935">
        <v>0</v>
      </c>
      <c r="R110" s="935">
        <f t="shared" si="20"/>
        <v>0</v>
      </c>
      <c r="U110"/>
    </row>
    <row r="111" spans="1:21" hidden="1" x14ac:dyDescent="0.2">
      <c r="A111" s="2">
        <v>3000</v>
      </c>
      <c r="B111" s="3" t="s">
        <v>159</v>
      </c>
      <c r="C111" s="935">
        <v>0</v>
      </c>
      <c r="D111" s="935">
        <v>0</v>
      </c>
      <c r="E111" s="935">
        <v>0</v>
      </c>
      <c r="F111" s="935">
        <v>0</v>
      </c>
      <c r="G111" s="935">
        <v>0</v>
      </c>
      <c r="H111" s="935">
        <v>0</v>
      </c>
      <c r="I111" s="935">
        <v>0</v>
      </c>
      <c r="J111" s="935">
        <v>0</v>
      </c>
      <c r="K111" s="935">
        <v>0</v>
      </c>
      <c r="L111" s="935">
        <v>0</v>
      </c>
      <c r="M111" s="935">
        <v>0</v>
      </c>
      <c r="N111" s="935">
        <v>0</v>
      </c>
      <c r="O111" s="935">
        <v>0</v>
      </c>
      <c r="P111" s="935">
        <v>0</v>
      </c>
      <c r="Q111" s="935">
        <v>0</v>
      </c>
      <c r="R111" s="935">
        <f t="shared" si="20"/>
        <v>0</v>
      </c>
      <c r="U111"/>
    </row>
    <row r="112" spans="1:21" x14ac:dyDescent="0.2">
      <c r="A112" s="2">
        <v>3100</v>
      </c>
      <c r="B112" s="3" t="s">
        <v>160</v>
      </c>
      <c r="C112" s="935">
        <v>0</v>
      </c>
      <c r="D112" s="935">
        <v>0</v>
      </c>
      <c r="E112" s="935">
        <v>0</v>
      </c>
      <c r="F112" s="935">
        <v>0</v>
      </c>
      <c r="G112" s="935">
        <v>0</v>
      </c>
      <c r="H112" s="935">
        <v>301000</v>
      </c>
      <c r="I112" s="935">
        <v>0</v>
      </c>
      <c r="J112" s="935">
        <v>0</v>
      </c>
      <c r="K112" s="935">
        <v>0</v>
      </c>
      <c r="L112" s="935">
        <v>0</v>
      </c>
      <c r="M112" s="935">
        <v>0</v>
      </c>
      <c r="N112" s="935">
        <v>0</v>
      </c>
      <c r="O112" s="935">
        <v>0</v>
      </c>
      <c r="P112" s="935">
        <v>0</v>
      </c>
      <c r="Q112" s="935">
        <v>0</v>
      </c>
      <c r="R112" s="935">
        <f t="shared" si="20"/>
        <v>301000</v>
      </c>
      <c r="U112"/>
    </row>
    <row r="113" spans="1:21" hidden="1" x14ac:dyDescent="0.2">
      <c r="A113" s="2">
        <v>3200</v>
      </c>
      <c r="B113" s="3" t="s">
        <v>161</v>
      </c>
      <c r="C113" s="935">
        <v>0</v>
      </c>
      <c r="D113" s="935">
        <v>0</v>
      </c>
      <c r="E113" s="935">
        <v>0</v>
      </c>
      <c r="F113" s="935">
        <v>0</v>
      </c>
      <c r="G113" s="935">
        <v>0</v>
      </c>
      <c r="H113" s="935">
        <v>0</v>
      </c>
      <c r="I113" s="935">
        <v>0</v>
      </c>
      <c r="J113" s="935">
        <v>0</v>
      </c>
      <c r="K113" s="935">
        <v>0</v>
      </c>
      <c r="L113" s="935">
        <v>0</v>
      </c>
      <c r="M113" s="935">
        <v>0</v>
      </c>
      <c r="N113" s="935">
        <v>0</v>
      </c>
      <c r="O113" s="935">
        <v>0</v>
      </c>
      <c r="P113" s="935">
        <v>0</v>
      </c>
      <c r="Q113" s="935">
        <v>0</v>
      </c>
      <c r="R113" s="935">
        <f t="shared" si="20"/>
        <v>0</v>
      </c>
      <c r="U113"/>
    </row>
    <row r="114" spans="1:21" hidden="1" x14ac:dyDescent="0.2">
      <c r="A114" s="2">
        <v>3300</v>
      </c>
      <c r="B114" s="3" t="s">
        <v>162</v>
      </c>
      <c r="C114" s="935">
        <v>0</v>
      </c>
      <c r="D114" s="935">
        <v>0</v>
      </c>
      <c r="E114" s="935">
        <v>0</v>
      </c>
      <c r="F114" s="935">
        <v>0</v>
      </c>
      <c r="G114" s="935">
        <v>0</v>
      </c>
      <c r="H114" s="935">
        <v>0</v>
      </c>
      <c r="I114" s="935">
        <v>0</v>
      </c>
      <c r="J114" s="935">
        <v>0</v>
      </c>
      <c r="K114" s="935">
        <v>0</v>
      </c>
      <c r="L114" s="935">
        <v>0</v>
      </c>
      <c r="M114" s="935">
        <v>0</v>
      </c>
      <c r="N114" s="935">
        <v>0</v>
      </c>
      <c r="O114" s="935">
        <v>0</v>
      </c>
      <c r="P114" s="935">
        <v>0</v>
      </c>
      <c r="Q114" s="935">
        <v>0</v>
      </c>
      <c r="R114" s="935">
        <f t="shared" si="20"/>
        <v>0</v>
      </c>
      <c r="U114"/>
    </row>
    <row r="115" spans="1:21" hidden="1" x14ac:dyDescent="0.2">
      <c r="A115" s="2">
        <v>4000</v>
      </c>
      <c r="B115" s="3" t="s">
        <v>164</v>
      </c>
      <c r="C115" s="935">
        <v>0</v>
      </c>
      <c r="D115" s="935">
        <v>0</v>
      </c>
      <c r="E115" s="935">
        <v>0</v>
      </c>
      <c r="F115" s="935">
        <v>0</v>
      </c>
      <c r="G115" s="935">
        <v>0</v>
      </c>
      <c r="H115" s="935">
        <v>0</v>
      </c>
      <c r="I115" s="935">
        <v>0</v>
      </c>
      <c r="J115" s="935">
        <v>0</v>
      </c>
      <c r="K115" s="935">
        <v>0</v>
      </c>
      <c r="L115" s="935">
        <v>0</v>
      </c>
      <c r="M115" s="935">
        <v>0</v>
      </c>
      <c r="N115" s="935">
        <v>0</v>
      </c>
      <c r="O115" s="935">
        <v>0</v>
      </c>
      <c r="P115" s="935">
        <v>0</v>
      </c>
      <c r="Q115" s="935">
        <v>0</v>
      </c>
      <c r="R115" s="935">
        <f t="shared" si="20"/>
        <v>0</v>
      </c>
      <c r="U115"/>
    </row>
    <row r="116" spans="1:21" hidden="1" x14ac:dyDescent="0.2">
      <c r="A116" s="2">
        <v>4100</v>
      </c>
      <c r="B116" s="3" t="s">
        <v>163</v>
      </c>
      <c r="C116" s="935">
        <v>0</v>
      </c>
      <c r="D116" s="935">
        <v>0</v>
      </c>
      <c r="E116" s="935">
        <v>0</v>
      </c>
      <c r="F116" s="935">
        <v>0</v>
      </c>
      <c r="G116" s="935">
        <v>0</v>
      </c>
      <c r="H116" s="935">
        <v>0</v>
      </c>
      <c r="I116" s="935">
        <v>0</v>
      </c>
      <c r="J116" s="935">
        <v>0</v>
      </c>
      <c r="K116" s="935">
        <v>0</v>
      </c>
      <c r="L116" s="935">
        <v>0</v>
      </c>
      <c r="M116" s="935">
        <v>0</v>
      </c>
      <c r="N116" s="935">
        <v>0</v>
      </c>
      <c r="O116" s="935">
        <v>0</v>
      </c>
      <c r="P116" s="935">
        <v>0</v>
      </c>
      <c r="Q116" s="935">
        <v>0</v>
      </c>
      <c r="R116" s="935">
        <f t="shared" si="20"/>
        <v>0</v>
      </c>
      <c r="U116"/>
    </row>
    <row r="117" spans="1:21" hidden="1" x14ac:dyDescent="0.2">
      <c r="A117" s="2">
        <v>4200</v>
      </c>
      <c r="B117" s="3" t="s">
        <v>165</v>
      </c>
      <c r="C117" s="935">
        <v>0</v>
      </c>
      <c r="D117" s="935">
        <v>0</v>
      </c>
      <c r="E117" s="935">
        <v>0</v>
      </c>
      <c r="F117" s="935">
        <v>0</v>
      </c>
      <c r="G117" s="935">
        <v>0</v>
      </c>
      <c r="H117" s="935">
        <v>0</v>
      </c>
      <c r="I117" s="935">
        <v>0</v>
      </c>
      <c r="J117" s="935">
        <v>0</v>
      </c>
      <c r="K117" s="935">
        <v>0</v>
      </c>
      <c r="L117" s="935">
        <v>0</v>
      </c>
      <c r="M117" s="935">
        <v>0</v>
      </c>
      <c r="N117" s="935">
        <v>0</v>
      </c>
      <c r="O117" s="935">
        <v>0</v>
      </c>
      <c r="P117" s="935">
        <v>0</v>
      </c>
      <c r="Q117" s="935">
        <v>0</v>
      </c>
      <c r="R117" s="935">
        <f t="shared" si="20"/>
        <v>0</v>
      </c>
    </row>
    <row r="118" spans="1:21" hidden="1" x14ac:dyDescent="0.2">
      <c r="A118" s="2">
        <v>4300</v>
      </c>
      <c r="B118" s="3" t="s">
        <v>166</v>
      </c>
      <c r="C118" s="935">
        <v>0</v>
      </c>
      <c r="D118" s="935">
        <v>0</v>
      </c>
      <c r="E118" s="935">
        <v>0</v>
      </c>
      <c r="F118" s="935">
        <v>0</v>
      </c>
      <c r="G118" s="935">
        <v>0</v>
      </c>
      <c r="H118" s="935">
        <v>0</v>
      </c>
      <c r="I118" s="935">
        <v>0</v>
      </c>
      <c r="J118" s="935">
        <v>0</v>
      </c>
      <c r="K118" s="935">
        <v>0</v>
      </c>
      <c r="L118" s="935">
        <v>0</v>
      </c>
      <c r="M118" s="935">
        <v>0</v>
      </c>
      <c r="N118" s="935">
        <v>0</v>
      </c>
      <c r="O118" s="935">
        <v>0</v>
      </c>
      <c r="P118" s="935">
        <v>0</v>
      </c>
      <c r="Q118" s="935">
        <v>0</v>
      </c>
      <c r="R118" s="935">
        <f t="shared" si="20"/>
        <v>0</v>
      </c>
    </row>
    <row r="119" spans="1:21" hidden="1" x14ac:dyDescent="0.2">
      <c r="A119" s="2">
        <v>4400</v>
      </c>
      <c r="B119" s="3" t="s">
        <v>167</v>
      </c>
      <c r="C119" s="935">
        <v>0</v>
      </c>
      <c r="D119" s="935">
        <v>0</v>
      </c>
      <c r="E119" s="935">
        <v>0</v>
      </c>
      <c r="F119" s="935">
        <v>0</v>
      </c>
      <c r="G119" s="935">
        <v>0</v>
      </c>
      <c r="H119" s="935">
        <v>0</v>
      </c>
      <c r="I119" s="935">
        <v>0</v>
      </c>
      <c r="J119" s="935">
        <v>0</v>
      </c>
      <c r="K119" s="935">
        <v>0</v>
      </c>
      <c r="L119" s="935">
        <v>0</v>
      </c>
      <c r="M119" s="935">
        <v>0</v>
      </c>
      <c r="N119" s="935">
        <v>0</v>
      </c>
      <c r="O119" s="935">
        <v>0</v>
      </c>
      <c r="P119" s="935">
        <v>0</v>
      </c>
      <c r="Q119" s="935">
        <v>0</v>
      </c>
      <c r="R119" s="935">
        <f t="shared" si="20"/>
        <v>0</v>
      </c>
    </row>
    <row r="120" spans="1:21" x14ac:dyDescent="0.2">
      <c r="A120" s="2">
        <v>4500</v>
      </c>
      <c r="B120" s="3" t="s">
        <v>168</v>
      </c>
      <c r="C120" s="935">
        <v>0</v>
      </c>
      <c r="D120" s="935">
        <v>0</v>
      </c>
      <c r="E120" s="935">
        <v>50000</v>
      </c>
      <c r="F120" s="935">
        <v>0</v>
      </c>
      <c r="G120" s="935">
        <v>25000</v>
      </c>
      <c r="H120" s="935">
        <v>0</v>
      </c>
      <c r="I120" s="935">
        <v>0</v>
      </c>
      <c r="J120" s="935">
        <v>0</v>
      </c>
      <c r="K120" s="935">
        <v>0</v>
      </c>
      <c r="L120" s="935">
        <v>0</v>
      </c>
      <c r="M120" s="935">
        <v>0</v>
      </c>
      <c r="N120" s="935">
        <v>0</v>
      </c>
      <c r="O120" s="935">
        <v>0</v>
      </c>
      <c r="P120" s="935">
        <v>0</v>
      </c>
      <c r="Q120" s="935">
        <v>0</v>
      </c>
      <c r="R120" s="935">
        <f t="shared" si="20"/>
        <v>75000</v>
      </c>
    </row>
    <row r="121" spans="1:21" hidden="1" x14ac:dyDescent="0.2">
      <c r="A121" s="2">
        <v>4600</v>
      </c>
      <c r="B121" s="3" t="s">
        <v>169</v>
      </c>
      <c r="C121" s="935">
        <v>0</v>
      </c>
      <c r="D121" s="935">
        <v>0</v>
      </c>
      <c r="E121" s="935">
        <v>0</v>
      </c>
      <c r="F121" s="935">
        <v>0</v>
      </c>
      <c r="G121" s="935">
        <v>0</v>
      </c>
      <c r="H121" s="935">
        <v>0</v>
      </c>
      <c r="I121" s="935">
        <v>0</v>
      </c>
      <c r="J121" s="935">
        <v>0</v>
      </c>
      <c r="K121" s="935">
        <v>0</v>
      </c>
      <c r="L121" s="935">
        <v>0</v>
      </c>
      <c r="M121" s="935">
        <v>0</v>
      </c>
      <c r="N121" s="935">
        <v>0</v>
      </c>
      <c r="O121" s="935">
        <v>0</v>
      </c>
      <c r="P121" s="935">
        <v>0</v>
      </c>
      <c r="Q121" s="935">
        <v>0</v>
      </c>
      <c r="R121" s="935">
        <f t="shared" si="20"/>
        <v>0</v>
      </c>
    </row>
    <row r="122" spans="1:21" x14ac:dyDescent="0.2">
      <c r="A122" s="2">
        <v>4700</v>
      </c>
      <c r="B122" s="3" t="s">
        <v>170</v>
      </c>
      <c r="C122" s="935">
        <v>0</v>
      </c>
      <c r="D122" s="935">
        <v>0</v>
      </c>
      <c r="E122" s="935">
        <v>0</v>
      </c>
      <c r="F122" s="935">
        <v>345000</v>
      </c>
      <c r="G122" s="935">
        <v>0</v>
      </c>
      <c r="H122" s="935">
        <v>0</v>
      </c>
      <c r="I122" s="935">
        <v>0</v>
      </c>
      <c r="J122" s="935">
        <v>0</v>
      </c>
      <c r="K122" s="935">
        <v>0</v>
      </c>
      <c r="L122" s="935">
        <v>0</v>
      </c>
      <c r="M122" s="935">
        <v>0</v>
      </c>
      <c r="N122" s="935">
        <v>0</v>
      </c>
      <c r="O122" s="935">
        <v>0</v>
      </c>
      <c r="P122" s="935">
        <v>0</v>
      </c>
      <c r="Q122" s="935">
        <v>0</v>
      </c>
      <c r="R122" s="935">
        <f t="shared" si="20"/>
        <v>345000</v>
      </c>
    </row>
    <row r="123" spans="1:21" hidden="1" x14ac:dyDescent="0.2">
      <c r="A123" s="2">
        <v>4900</v>
      </c>
      <c r="B123" s="3" t="s">
        <v>171</v>
      </c>
      <c r="C123" s="935">
        <v>0</v>
      </c>
      <c r="D123" s="935">
        <v>0</v>
      </c>
      <c r="E123" s="935">
        <v>0</v>
      </c>
      <c r="F123" s="935">
        <v>0</v>
      </c>
      <c r="G123" s="935">
        <v>0</v>
      </c>
      <c r="H123" s="935">
        <v>0</v>
      </c>
      <c r="I123" s="935">
        <v>0</v>
      </c>
      <c r="J123" s="935">
        <v>0</v>
      </c>
      <c r="K123" s="935">
        <v>0</v>
      </c>
      <c r="L123" s="935">
        <v>0</v>
      </c>
      <c r="M123" s="935">
        <v>0</v>
      </c>
      <c r="N123" s="935">
        <v>0</v>
      </c>
      <c r="O123" s="935">
        <v>0</v>
      </c>
      <c r="P123" s="935">
        <v>0</v>
      </c>
      <c r="Q123" s="935">
        <v>0</v>
      </c>
      <c r="R123" s="935">
        <f t="shared" si="20"/>
        <v>0</v>
      </c>
    </row>
    <row r="124" spans="1:21" hidden="1" x14ac:dyDescent="0.2">
      <c r="A124" s="2">
        <v>5000</v>
      </c>
      <c r="B124" s="3" t="s">
        <v>172</v>
      </c>
      <c r="C124" s="935">
        <v>0</v>
      </c>
      <c r="D124" s="935">
        <v>0</v>
      </c>
      <c r="E124" s="935">
        <v>0</v>
      </c>
      <c r="F124" s="935">
        <v>0</v>
      </c>
      <c r="G124" s="935">
        <v>0</v>
      </c>
      <c r="H124" s="935">
        <v>0</v>
      </c>
      <c r="I124" s="935">
        <v>0</v>
      </c>
      <c r="J124" s="935">
        <v>0</v>
      </c>
      <c r="K124" s="935">
        <v>0</v>
      </c>
      <c r="L124" s="935">
        <v>0</v>
      </c>
      <c r="M124" s="935">
        <v>0</v>
      </c>
      <c r="N124" s="935">
        <v>0</v>
      </c>
      <c r="O124" s="935">
        <v>0</v>
      </c>
      <c r="P124" s="935">
        <v>0</v>
      </c>
      <c r="Q124" s="935">
        <v>0</v>
      </c>
      <c r="R124" s="935">
        <f t="shared" si="20"/>
        <v>0</v>
      </c>
    </row>
    <row r="125" spans="1:21" x14ac:dyDescent="0.2">
      <c r="A125" s="2">
        <v>5000</v>
      </c>
      <c r="B125" s="3" t="s">
        <v>173</v>
      </c>
      <c r="C125" s="935">
        <v>0</v>
      </c>
      <c r="D125" s="935">
        <v>1122845</v>
      </c>
      <c r="E125" s="935">
        <v>0</v>
      </c>
      <c r="F125" s="935">
        <v>0</v>
      </c>
      <c r="G125" s="935">
        <v>0</v>
      </c>
      <c r="H125" s="935">
        <v>0</v>
      </c>
      <c r="I125" s="935">
        <v>0</v>
      </c>
      <c r="J125" s="935">
        <v>0</v>
      </c>
      <c r="K125" s="935">
        <v>0</v>
      </c>
      <c r="L125" s="935">
        <v>0</v>
      </c>
      <c r="M125" s="935">
        <v>0</v>
      </c>
      <c r="N125" s="935">
        <v>0</v>
      </c>
      <c r="O125" s="935">
        <v>0</v>
      </c>
      <c r="P125" s="935">
        <v>0</v>
      </c>
      <c r="Q125" s="935">
        <v>0</v>
      </c>
      <c r="R125" s="935">
        <f t="shared" si="20"/>
        <v>1122845</v>
      </c>
    </row>
    <row r="126" spans="1:21" hidden="1" x14ac:dyDescent="0.2">
      <c r="A126" s="2">
        <v>6100</v>
      </c>
      <c r="B126" s="3" t="s">
        <v>174</v>
      </c>
      <c r="C126" s="935">
        <v>0</v>
      </c>
      <c r="D126" s="935">
        <v>0</v>
      </c>
      <c r="E126" s="935">
        <v>0</v>
      </c>
      <c r="F126" s="935">
        <v>0</v>
      </c>
      <c r="G126" s="935">
        <v>0</v>
      </c>
      <c r="H126" s="935">
        <v>0</v>
      </c>
      <c r="I126" s="935">
        <v>0</v>
      </c>
      <c r="J126" s="935">
        <v>0</v>
      </c>
      <c r="K126" s="935">
        <v>0</v>
      </c>
      <c r="L126" s="935">
        <v>0</v>
      </c>
      <c r="M126" s="935">
        <v>0</v>
      </c>
      <c r="N126" s="935">
        <v>0</v>
      </c>
      <c r="O126" s="935">
        <v>0</v>
      </c>
      <c r="P126" s="935">
        <v>0</v>
      </c>
      <c r="Q126" s="935">
        <v>0</v>
      </c>
      <c r="R126" s="935">
        <f t="shared" si="20"/>
        <v>0</v>
      </c>
    </row>
    <row r="127" spans="1:21" x14ac:dyDescent="0.2">
      <c r="A127" s="2">
        <v>6200</v>
      </c>
      <c r="B127" s="3" t="s">
        <v>175</v>
      </c>
      <c r="C127" s="935">
        <v>1672000</v>
      </c>
      <c r="D127" s="935">
        <v>0</v>
      </c>
      <c r="E127" s="935">
        <v>0</v>
      </c>
      <c r="F127" s="935">
        <v>0</v>
      </c>
      <c r="G127" s="935">
        <v>0</v>
      </c>
      <c r="H127" s="935">
        <v>0</v>
      </c>
      <c r="I127" s="935">
        <v>0</v>
      </c>
      <c r="J127" s="935">
        <v>100000</v>
      </c>
      <c r="K127" s="935">
        <v>0</v>
      </c>
      <c r="L127" s="935">
        <v>0</v>
      </c>
      <c r="M127" s="935">
        <v>0</v>
      </c>
      <c r="N127" s="935">
        <v>0</v>
      </c>
      <c r="O127" s="935">
        <v>0</v>
      </c>
      <c r="P127" s="935">
        <v>0</v>
      </c>
      <c r="Q127" s="935">
        <v>-100000</v>
      </c>
      <c r="R127" s="935">
        <f t="shared" si="20"/>
        <v>1672000</v>
      </c>
    </row>
    <row r="128" spans="1:21" x14ac:dyDescent="0.2">
      <c r="A128" s="2">
        <v>6300</v>
      </c>
      <c r="B128" s="3" t="s">
        <v>176</v>
      </c>
      <c r="C128" s="935">
        <v>25000</v>
      </c>
      <c r="D128" s="935">
        <v>0</v>
      </c>
      <c r="E128" s="935">
        <v>0</v>
      </c>
      <c r="F128" s="935">
        <v>0</v>
      </c>
      <c r="G128" s="935">
        <v>0</v>
      </c>
      <c r="H128" s="935">
        <v>0</v>
      </c>
      <c r="I128" s="935">
        <v>0</v>
      </c>
      <c r="J128" s="935">
        <v>0</v>
      </c>
      <c r="K128" s="935">
        <v>0</v>
      </c>
      <c r="L128" s="935">
        <v>0</v>
      </c>
      <c r="M128" s="935">
        <v>0</v>
      </c>
      <c r="N128" s="935">
        <v>0</v>
      </c>
      <c r="O128" s="935">
        <v>0</v>
      </c>
      <c r="P128" s="935">
        <v>0</v>
      </c>
      <c r="Q128" s="935">
        <v>0</v>
      </c>
      <c r="R128" s="935">
        <f t="shared" si="20"/>
        <v>25000</v>
      </c>
    </row>
    <row r="129" spans="1:21" x14ac:dyDescent="0.2">
      <c r="A129" s="2">
        <v>8000</v>
      </c>
      <c r="B129" s="3" t="s">
        <v>177</v>
      </c>
      <c r="C129" s="935">
        <v>473644</v>
      </c>
      <c r="D129" s="935">
        <v>0</v>
      </c>
      <c r="E129" s="935">
        <v>21627</v>
      </c>
      <c r="F129" s="935">
        <v>107466</v>
      </c>
      <c r="G129" s="935">
        <v>15356</v>
      </c>
      <c r="H129" s="935">
        <v>32594</v>
      </c>
      <c r="I129" s="935">
        <v>334149</v>
      </c>
      <c r="J129" s="935">
        <v>247815</v>
      </c>
      <c r="K129" s="935">
        <v>0</v>
      </c>
      <c r="L129" s="935">
        <v>0</v>
      </c>
      <c r="M129" s="935">
        <v>0</v>
      </c>
      <c r="N129" s="935">
        <v>0</v>
      </c>
      <c r="O129" s="935">
        <v>0</v>
      </c>
      <c r="P129" s="935">
        <v>45258</v>
      </c>
      <c r="Q129" s="935">
        <v>0</v>
      </c>
      <c r="R129" s="935">
        <f t="shared" si="20"/>
        <v>1277909</v>
      </c>
    </row>
    <row r="130" spans="1:21" x14ac:dyDescent="0.2">
      <c r="C130" s="935"/>
      <c r="D130" s="935"/>
      <c r="E130" s="935"/>
      <c r="F130" s="935"/>
      <c r="G130" s="935"/>
      <c r="H130" s="935"/>
      <c r="I130" s="935"/>
      <c r="J130" s="935"/>
      <c r="K130" s="935"/>
      <c r="L130" s="935"/>
      <c r="M130" s="935"/>
      <c r="N130" s="935"/>
      <c r="O130" s="935"/>
      <c r="P130" s="935"/>
      <c r="Q130" s="935"/>
      <c r="R130" s="935"/>
    </row>
    <row r="131" spans="1:21" s="2" customFormat="1" x14ac:dyDescent="0.2">
      <c r="A131" s="53"/>
      <c r="B131" s="2" t="s">
        <v>308</v>
      </c>
      <c r="C131" s="931"/>
      <c r="D131" s="931"/>
      <c r="E131" s="931"/>
      <c r="F131" s="931"/>
      <c r="G131" s="931"/>
      <c r="H131" s="931"/>
      <c r="I131" s="931"/>
      <c r="J131" s="931"/>
      <c r="K131" s="931"/>
      <c r="L131" s="931"/>
      <c r="M131" s="931"/>
      <c r="N131" s="931"/>
      <c r="O131" s="931"/>
      <c r="P131" s="931"/>
      <c r="Q131" s="931"/>
      <c r="R131" s="931"/>
      <c r="U131" s="53"/>
    </row>
    <row r="132" spans="1:21" hidden="1" x14ac:dyDescent="0.2">
      <c r="B132" s="3" t="s">
        <v>179</v>
      </c>
      <c r="C132" s="935">
        <v>0</v>
      </c>
      <c r="D132" s="935">
        <v>0</v>
      </c>
      <c r="E132" s="935">
        <v>0</v>
      </c>
      <c r="F132" s="935">
        <v>0</v>
      </c>
      <c r="G132" s="935">
        <v>0</v>
      </c>
      <c r="H132" s="935">
        <v>0</v>
      </c>
      <c r="I132" s="935">
        <v>0</v>
      </c>
      <c r="J132" s="935">
        <v>0</v>
      </c>
      <c r="K132" s="935">
        <v>0</v>
      </c>
      <c r="L132" s="935">
        <v>0</v>
      </c>
      <c r="M132" s="935">
        <v>0</v>
      </c>
      <c r="N132" s="935">
        <v>0</v>
      </c>
      <c r="O132" s="935">
        <v>0</v>
      </c>
      <c r="P132" s="935">
        <v>0</v>
      </c>
      <c r="Q132" s="935">
        <v>0</v>
      </c>
      <c r="R132" s="935">
        <f t="shared" ref="R132:R195" si="21">SUM(C132:Q132)</f>
        <v>0</v>
      </c>
    </row>
    <row r="133" spans="1:21" hidden="1" x14ac:dyDescent="0.2">
      <c r="B133" s="3" t="s">
        <v>145</v>
      </c>
      <c r="C133" s="935">
        <v>0</v>
      </c>
      <c r="D133" s="935">
        <v>0</v>
      </c>
      <c r="E133" s="935">
        <v>0</v>
      </c>
      <c r="F133" s="935">
        <v>0</v>
      </c>
      <c r="G133" s="935">
        <v>0</v>
      </c>
      <c r="H133" s="935">
        <v>0</v>
      </c>
      <c r="I133" s="935">
        <v>0</v>
      </c>
      <c r="J133" s="935">
        <v>0</v>
      </c>
      <c r="K133" s="935">
        <v>0</v>
      </c>
      <c r="L133" s="935">
        <v>0</v>
      </c>
      <c r="M133" s="935">
        <v>0</v>
      </c>
      <c r="N133" s="935">
        <v>0</v>
      </c>
      <c r="O133" s="935">
        <v>0</v>
      </c>
      <c r="P133" s="935">
        <v>0</v>
      </c>
      <c r="Q133" s="935">
        <v>0</v>
      </c>
      <c r="R133" s="935">
        <f t="shared" si="21"/>
        <v>0</v>
      </c>
    </row>
    <row r="134" spans="1:21" hidden="1" x14ac:dyDescent="0.2">
      <c r="B134" s="3" t="s">
        <v>180</v>
      </c>
      <c r="C134" s="935">
        <v>0</v>
      </c>
      <c r="D134" s="935">
        <v>0</v>
      </c>
      <c r="E134" s="935">
        <v>0</v>
      </c>
      <c r="F134" s="935">
        <v>0</v>
      </c>
      <c r="G134" s="935">
        <v>0</v>
      </c>
      <c r="H134" s="935">
        <v>0</v>
      </c>
      <c r="I134" s="935">
        <v>0</v>
      </c>
      <c r="J134" s="935">
        <v>0</v>
      </c>
      <c r="K134" s="935">
        <v>0</v>
      </c>
      <c r="L134" s="935">
        <v>0</v>
      </c>
      <c r="M134" s="935">
        <v>0</v>
      </c>
      <c r="N134" s="935">
        <v>0</v>
      </c>
      <c r="O134" s="935">
        <v>0</v>
      </c>
      <c r="P134" s="935">
        <v>0</v>
      </c>
      <c r="Q134" s="935">
        <v>0</v>
      </c>
      <c r="R134" s="935">
        <f t="shared" si="21"/>
        <v>0</v>
      </c>
    </row>
    <row r="135" spans="1:21" hidden="1" x14ac:dyDescent="0.2">
      <c r="B135" s="3" t="s">
        <v>181</v>
      </c>
      <c r="C135" s="935">
        <v>0</v>
      </c>
      <c r="D135" s="935">
        <v>0</v>
      </c>
      <c r="E135" s="935">
        <v>0</v>
      </c>
      <c r="F135" s="935">
        <v>0</v>
      </c>
      <c r="G135" s="935">
        <v>0</v>
      </c>
      <c r="H135" s="935">
        <v>0</v>
      </c>
      <c r="I135" s="935">
        <v>0</v>
      </c>
      <c r="J135" s="935">
        <v>0</v>
      </c>
      <c r="K135" s="935">
        <v>0</v>
      </c>
      <c r="L135" s="935">
        <v>0</v>
      </c>
      <c r="M135" s="935">
        <v>0</v>
      </c>
      <c r="N135" s="935">
        <v>0</v>
      </c>
      <c r="O135" s="935">
        <v>0</v>
      </c>
      <c r="P135" s="935">
        <v>0</v>
      </c>
      <c r="Q135" s="935">
        <v>0</v>
      </c>
      <c r="R135" s="935">
        <f t="shared" si="21"/>
        <v>0</v>
      </c>
    </row>
    <row r="136" spans="1:21" hidden="1" x14ac:dyDescent="0.2">
      <c r="B136" s="3" t="s">
        <v>182</v>
      </c>
      <c r="C136" s="935">
        <v>0</v>
      </c>
      <c r="D136" s="935">
        <v>0</v>
      </c>
      <c r="E136" s="935">
        <v>0</v>
      </c>
      <c r="F136" s="935">
        <v>0</v>
      </c>
      <c r="G136" s="935">
        <v>0</v>
      </c>
      <c r="H136" s="935">
        <v>0</v>
      </c>
      <c r="I136" s="935">
        <v>0</v>
      </c>
      <c r="J136" s="935">
        <v>0</v>
      </c>
      <c r="K136" s="935">
        <v>0</v>
      </c>
      <c r="L136" s="935">
        <v>0</v>
      </c>
      <c r="M136" s="935">
        <v>0</v>
      </c>
      <c r="N136" s="935">
        <v>0</v>
      </c>
      <c r="O136" s="935">
        <v>0</v>
      </c>
      <c r="P136" s="935">
        <v>0</v>
      </c>
      <c r="Q136" s="935">
        <v>0</v>
      </c>
      <c r="R136" s="935">
        <f t="shared" si="21"/>
        <v>0</v>
      </c>
    </row>
    <row r="137" spans="1:21" hidden="1" x14ac:dyDescent="0.2">
      <c r="B137" s="3" t="s">
        <v>183</v>
      </c>
      <c r="C137" s="935">
        <v>0</v>
      </c>
      <c r="D137" s="935">
        <v>0</v>
      </c>
      <c r="E137" s="935">
        <v>0</v>
      </c>
      <c r="F137" s="935">
        <v>0</v>
      </c>
      <c r="G137" s="935">
        <v>0</v>
      </c>
      <c r="H137" s="935">
        <v>0</v>
      </c>
      <c r="I137" s="935">
        <v>0</v>
      </c>
      <c r="J137" s="935">
        <v>0</v>
      </c>
      <c r="K137" s="935">
        <v>0</v>
      </c>
      <c r="L137" s="935">
        <v>0</v>
      </c>
      <c r="M137" s="935">
        <v>0</v>
      </c>
      <c r="N137" s="935">
        <v>0</v>
      </c>
      <c r="O137" s="935">
        <v>0</v>
      </c>
      <c r="P137" s="935">
        <v>0</v>
      </c>
      <c r="Q137" s="935">
        <v>0</v>
      </c>
      <c r="R137" s="935">
        <f t="shared" si="21"/>
        <v>0</v>
      </c>
    </row>
    <row r="138" spans="1:21" hidden="1" x14ac:dyDescent="0.2">
      <c r="B138" s="3" t="s">
        <v>184</v>
      </c>
      <c r="C138" s="935">
        <v>0</v>
      </c>
      <c r="D138" s="935">
        <v>0</v>
      </c>
      <c r="E138" s="935">
        <v>0</v>
      </c>
      <c r="F138" s="935">
        <v>0</v>
      </c>
      <c r="G138" s="935">
        <v>0</v>
      </c>
      <c r="H138" s="935">
        <v>0</v>
      </c>
      <c r="I138" s="935">
        <v>0</v>
      </c>
      <c r="J138" s="935">
        <v>0</v>
      </c>
      <c r="K138" s="935">
        <v>0</v>
      </c>
      <c r="L138" s="935">
        <v>0</v>
      </c>
      <c r="M138" s="935">
        <v>0</v>
      </c>
      <c r="N138" s="935">
        <v>0</v>
      </c>
      <c r="O138" s="935">
        <v>0</v>
      </c>
      <c r="P138" s="935">
        <v>0</v>
      </c>
      <c r="Q138" s="935">
        <v>0</v>
      </c>
      <c r="R138" s="935">
        <f t="shared" si="21"/>
        <v>0</v>
      </c>
    </row>
    <row r="139" spans="1:21" hidden="1" x14ac:dyDescent="0.2">
      <c r="B139" s="3" t="s">
        <v>185</v>
      </c>
      <c r="C139" s="935">
        <v>0</v>
      </c>
      <c r="D139" s="935">
        <v>0</v>
      </c>
      <c r="E139" s="935">
        <v>0</v>
      </c>
      <c r="F139" s="935">
        <v>0</v>
      </c>
      <c r="G139" s="935">
        <v>0</v>
      </c>
      <c r="H139" s="935">
        <v>0</v>
      </c>
      <c r="I139" s="935">
        <v>0</v>
      </c>
      <c r="J139" s="935">
        <v>0</v>
      </c>
      <c r="K139" s="935">
        <v>0</v>
      </c>
      <c r="L139" s="935">
        <v>0</v>
      </c>
      <c r="M139" s="935">
        <v>0</v>
      </c>
      <c r="N139" s="935">
        <v>0</v>
      </c>
      <c r="O139" s="935">
        <v>0</v>
      </c>
      <c r="P139" s="935">
        <v>0</v>
      </c>
      <c r="Q139" s="935">
        <v>0</v>
      </c>
      <c r="R139" s="935">
        <f t="shared" si="21"/>
        <v>0</v>
      </c>
    </row>
    <row r="140" spans="1:21" hidden="1" x14ac:dyDescent="0.2">
      <c r="B140" s="3" t="s">
        <v>186</v>
      </c>
      <c r="C140" s="935">
        <v>0</v>
      </c>
      <c r="D140" s="935">
        <v>0</v>
      </c>
      <c r="E140" s="935">
        <v>0</v>
      </c>
      <c r="F140" s="935">
        <v>0</v>
      </c>
      <c r="G140" s="935">
        <v>0</v>
      </c>
      <c r="H140" s="935">
        <v>0</v>
      </c>
      <c r="I140" s="935">
        <v>0</v>
      </c>
      <c r="J140" s="935">
        <v>0</v>
      </c>
      <c r="K140" s="935">
        <v>0</v>
      </c>
      <c r="L140" s="935">
        <v>0</v>
      </c>
      <c r="M140" s="935">
        <v>0</v>
      </c>
      <c r="N140" s="935">
        <v>0</v>
      </c>
      <c r="O140" s="935">
        <v>0</v>
      </c>
      <c r="P140" s="935">
        <v>0</v>
      </c>
      <c r="Q140" s="935">
        <v>0</v>
      </c>
      <c r="R140" s="935">
        <f t="shared" si="21"/>
        <v>0</v>
      </c>
    </row>
    <row r="141" spans="1:21" hidden="1" x14ac:dyDescent="0.2">
      <c r="B141" s="3" t="s">
        <v>187</v>
      </c>
      <c r="C141" s="935">
        <v>0</v>
      </c>
      <c r="D141" s="935">
        <v>0</v>
      </c>
      <c r="E141" s="935">
        <v>0</v>
      </c>
      <c r="F141" s="935">
        <v>0</v>
      </c>
      <c r="G141" s="935">
        <v>0</v>
      </c>
      <c r="H141" s="935">
        <v>0</v>
      </c>
      <c r="I141" s="935">
        <v>0</v>
      </c>
      <c r="J141" s="935">
        <v>0</v>
      </c>
      <c r="K141" s="935">
        <v>0</v>
      </c>
      <c r="L141" s="935">
        <v>0</v>
      </c>
      <c r="M141" s="935">
        <v>0</v>
      </c>
      <c r="N141" s="935">
        <v>0</v>
      </c>
      <c r="O141" s="935">
        <v>0</v>
      </c>
      <c r="P141" s="935">
        <v>0</v>
      </c>
      <c r="Q141" s="935">
        <v>0</v>
      </c>
      <c r="R141" s="935">
        <f t="shared" si="21"/>
        <v>0</v>
      </c>
    </row>
    <row r="142" spans="1:21" x14ac:dyDescent="0.2">
      <c r="B142" s="3" t="s">
        <v>188</v>
      </c>
      <c r="C142" s="935">
        <v>0</v>
      </c>
      <c r="D142" s="935">
        <v>0</v>
      </c>
      <c r="E142" s="935">
        <v>0</v>
      </c>
      <c r="F142" s="935">
        <v>0</v>
      </c>
      <c r="G142" s="935">
        <v>0</v>
      </c>
      <c r="H142" s="935">
        <v>0</v>
      </c>
      <c r="I142" s="935">
        <v>0</v>
      </c>
      <c r="J142" s="935">
        <v>0</v>
      </c>
      <c r="K142" s="935">
        <v>0</v>
      </c>
      <c r="L142" s="935">
        <v>0</v>
      </c>
      <c r="M142" s="935">
        <v>0</v>
      </c>
      <c r="N142" s="935">
        <v>0</v>
      </c>
      <c r="O142" s="935">
        <v>0</v>
      </c>
      <c r="P142" s="935">
        <v>0</v>
      </c>
      <c r="Q142" s="935">
        <v>-145000</v>
      </c>
      <c r="R142" s="935">
        <f t="shared" si="21"/>
        <v>-145000</v>
      </c>
    </row>
    <row r="143" spans="1:21" hidden="1" x14ac:dyDescent="0.2">
      <c r="B143" s="3" t="s">
        <v>189</v>
      </c>
      <c r="C143" s="935">
        <v>0</v>
      </c>
      <c r="D143" s="935">
        <v>0</v>
      </c>
      <c r="E143" s="935">
        <v>0</v>
      </c>
      <c r="F143" s="935">
        <v>0</v>
      </c>
      <c r="G143" s="935">
        <v>0</v>
      </c>
      <c r="H143" s="935">
        <v>0</v>
      </c>
      <c r="I143" s="935">
        <v>0</v>
      </c>
      <c r="J143" s="935">
        <v>0</v>
      </c>
      <c r="K143" s="935">
        <v>0</v>
      </c>
      <c r="L143" s="935">
        <v>0</v>
      </c>
      <c r="M143" s="935">
        <v>0</v>
      </c>
      <c r="N143" s="935">
        <v>0</v>
      </c>
      <c r="O143" s="935">
        <v>0</v>
      </c>
      <c r="P143" s="935">
        <v>0</v>
      </c>
      <c r="Q143" s="935">
        <v>0</v>
      </c>
      <c r="R143" s="935">
        <f t="shared" si="21"/>
        <v>0</v>
      </c>
    </row>
    <row r="144" spans="1:21" hidden="1" x14ac:dyDescent="0.2">
      <c r="B144" s="3" t="s">
        <v>190</v>
      </c>
      <c r="C144" s="935">
        <v>0</v>
      </c>
      <c r="D144" s="935">
        <v>0</v>
      </c>
      <c r="E144" s="935">
        <v>0</v>
      </c>
      <c r="F144" s="935">
        <v>0</v>
      </c>
      <c r="G144" s="935">
        <v>0</v>
      </c>
      <c r="H144" s="935">
        <v>0</v>
      </c>
      <c r="I144" s="935">
        <v>0</v>
      </c>
      <c r="J144" s="935">
        <v>0</v>
      </c>
      <c r="K144" s="935">
        <v>0</v>
      </c>
      <c r="L144" s="935">
        <v>0</v>
      </c>
      <c r="M144" s="935">
        <v>0</v>
      </c>
      <c r="N144" s="935">
        <v>0</v>
      </c>
      <c r="O144" s="935">
        <v>0</v>
      </c>
      <c r="P144" s="935">
        <v>0</v>
      </c>
      <c r="Q144" s="935">
        <v>0</v>
      </c>
      <c r="R144" s="935">
        <f t="shared" si="21"/>
        <v>0</v>
      </c>
    </row>
    <row r="145" spans="2:18" hidden="1" x14ac:dyDescent="0.2">
      <c r="B145" s="3" t="s">
        <v>191</v>
      </c>
      <c r="C145" s="935">
        <v>0</v>
      </c>
      <c r="D145" s="935">
        <v>0</v>
      </c>
      <c r="E145" s="935">
        <v>0</v>
      </c>
      <c r="F145" s="935">
        <v>0</v>
      </c>
      <c r="G145" s="935">
        <v>0</v>
      </c>
      <c r="H145" s="935">
        <v>0</v>
      </c>
      <c r="I145" s="935">
        <v>0</v>
      </c>
      <c r="J145" s="935">
        <v>0</v>
      </c>
      <c r="K145" s="935">
        <v>0</v>
      </c>
      <c r="L145" s="935">
        <v>0</v>
      </c>
      <c r="M145" s="935">
        <v>0</v>
      </c>
      <c r="N145" s="935">
        <v>0</v>
      </c>
      <c r="O145" s="935">
        <v>0</v>
      </c>
      <c r="P145" s="935">
        <v>0</v>
      </c>
      <c r="Q145" s="935">
        <v>0</v>
      </c>
      <c r="R145" s="935">
        <f t="shared" si="21"/>
        <v>0</v>
      </c>
    </row>
    <row r="146" spans="2:18" x14ac:dyDescent="0.2">
      <c r="B146" s="3" t="s">
        <v>192</v>
      </c>
      <c r="C146" s="935">
        <v>0</v>
      </c>
      <c r="D146" s="935">
        <v>0</v>
      </c>
      <c r="E146" s="935">
        <v>0</v>
      </c>
      <c r="F146" s="935">
        <v>0</v>
      </c>
      <c r="G146" s="935">
        <v>0</v>
      </c>
      <c r="H146" s="935">
        <v>0</v>
      </c>
      <c r="I146" s="935">
        <v>0</v>
      </c>
      <c r="J146" s="935">
        <v>0</v>
      </c>
      <c r="K146" s="935">
        <v>0</v>
      </c>
      <c r="L146" s="935">
        <v>0</v>
      </c>
      <c r="M146" s="935">
        <v>0</v>
      </c>
      <c r="N146" s="935">
        <v>0</v>
      </c>
      <c r="O146" s="935">
        <v>0</v>
      </c>
      <c r="P146" s="935">
        <v>0</v>
      </c>
      <c r="Q146" s="935">
        <v>-1097000</v>
      </c>
      <c r="R146" s="935">
        <f t="shared" si="21"/>
        <v>-1097000</v>
      </c>
    </row>
    <row r="147" spans="2:18" hidden="1" x14ac:dyDescent="0.2">
      <c r="B147" s="3" t="s">
        <v>193</v>
      </c>
      <c r="C147" s="935">
        <v>0</v>
      </c>
      <c r="D147" s="935">
        <v>0</v>
      </c>
      <c r="E147" s="935">
        <v>0</v>
      </c>
      <c r="F147" s="935">
        <v>0</v>
      </c>
      <c r="G147" s="935">
        <v>0</v>
      </c>
      <c r="H147" s="935">
        <v>0</v>
      </c>
      <c r="I147" s="935">
        <v>0</v>
      </c>
      <c r="J147" s="935">
        <v>0</v>
      </c>
      <c r="K147" s="935">
        <v>0</v>
      </c>
      <c r="L147" s="935">
        <v>0</v>
      </c>
      <c r="M147" s="935">
        <v>0</v>
      </c>
      <c r="N147" s="935">
        <v>0</v>
      </c>
      <c r="O147" s="935">
        <v>0</v>
      </c>
      <c r="P147" s="935">
        <v>0</v>
      </c>
      <c r="Q147" s="935">
        <v>0</v>
      </c>
      <c r="R147" s="935">
        <f t="shared" si="21"/>
        <v>0</v>
      </c>
    </row>
    <row r="148" spans="2:18" hidden="1" x14ac:dyDescent="0.2">
      <c r="B148" s="3" t="s">
        <v>194</v>
      </c>
      <c r="C148" s="935">
        <v>0</v>
      </c>
      <c r="D148" s="935">
        <v>0</v>
      </c>
      <c r="E148" s="935">
        <v>0</v>
      </c>
      <c r="F148" s="935">
        <v>0</v>
      </c>
      <c r="G148" s="935">
        <v>0</v>
      </c>
      <c r="H148" s="935">
        <v>0</v>
      </c>
      <c r="I148" s="935">
        <v>0</v>
      </c>
      <c r="J148" s="935">
        <v>0</v>
      </c>
      <c r="K148" s="935">
        <v>0</v>
      </c>
      <c r="L148" s="935">
        <v>0</v>
      </c>
      <c r="M148" s="935">
        <v>0</v>
      </c>
      <c r="N148" s="935">
        <v>0</v>
      </c>
      <c r="O148" s="935">
        <v>0</v>
      </c>
      <c r="P148" s="935">
        <v>0</v>
      </c>
      <c r="Q148" s="935">
        <v>0</v>
      </c>
      <c r="R148" s="935">
        <f t="shared" si="21"/>
        <v>0</v>
      </c>
    </row>
    <row r="149" spans="2:18" hidden="1" x14ac:dyDescent="0.2">
      <c r="B149" s="3" t="s">
        <v>195</v>
      </c>
      <c r="C149" s="935">
        <v>0</v>
      </c>
      <c r="D149" s="935">
        <v>0</v>
      </c>
      <c r="E149" s="935">
        <v>0</v>
      </c>
      <c r="F149" s="935">
        <v>0</v>
      </c>
      <c r="G149" s="935">
        <v>0</v>
      </c>
      <c r="H149" s="935">
        <v>0</v>
      </c>
      <c r="I149" s="935">
        <v>0</v>
      </c>
      <c r="J149" s="935">
        <v>0</v>
      </c>
      <c r="K149" s="935">
        <v>0</v>
      </c>
      <c r="L149" s="935">
        <v>0</v>
      </c>
      <c r="M149" s="935">
        <v>0</v>
      </c>
      <c r="N149" s="935">
        <v>0</v>
      </c>
      <c r="O149" s="935">
        <v>0</v>
      </c>
      <c r="P149" s="935">
        <v>0</v>
      </c>
      <c r="Q149" s="935">
        <v>0</v>
      </c>
      <c r="R149" s="935">
        <f t="shared" si="21"/>
        <v>0</v>
      </c>
    </row>
    <row r="150" spans="2:18" hidden="1" x14ac:dyDescent="0.2">
      <c r="B150" s="3" t="s">
        <v>196</v>
      </c>
      <c r="C150" s="935">
        <v>0</v>
      </c>
      <c r="D150" s="935">
        <v>0</v>
      </c>
      <c r="E150" s="935">
        <v>0</v>
      </c>
      <c r="F150" s="935">
        <v>0</v>
      </c>
      <c r="G150" s="935">
        <v>0</v>
      </c>
      <c r="H150" s="935">
        <v>0</v>
      </c>
      <c r="I150" s="935">
        <v>0</v>
      </c>
      <c r="J150" s="935">
        <v>0</v>
      </c>
      <c r="K150" s="935">
        <v>0</v>
      </c>
      <c r="L150" s="935">
        <v>0</v>
      </c>
      <c r="M150" s="935">
        <v>0</v>
      </c>
      <c r="N150" s="935">
        <v>0</v>
      </c>
      <c r="O150" s="935">
        <v>0</v>
      </c>
      <c r="P150" s="935">
        <v>0</v>
      </c>
      <c r="Q150" s="935">
        <v>0</v>
      </c>
      <c r="R150" s="935">
        <f t="shared" si="21"/>
        <v>0</v>
      </c>
    </row>
    <row r="151" spans="2:18" hidden="1" x14ac:dyDescent="0.2">
      <c r="B151" s="3" t="s">
        <v>197</v>
      </c>
      <c r="C151" s="935">
        <v>0</v>
      </c>
      <c r="D151" s="935">
        <v>0</v>
      </c>
      <c r="E151" s="935">
        <v>0</v>
      </c>
      <c r="F151" s="935">
        <v>0</v>
      </c>
      <c r="G151" s="935">
        <v>0</v>
      </c>
      <c r="H151" s="935">
        <v>0</v>
      </c>
      <c r="I151" s="935">
        <v>0</v>
      </c>
      <c r="J151" s="935">
        <v>0</v>
      </c>
      <c r="K151" s="935">
        <v>0</v>
      </c>
      <c r="L151" s="935">
        <v>0</v>
      </c>
      <c r="M151" s="935">
        <v>0</v>
      </c>
      <c r="N151" s="935">
        <v>0</v>
      </c>
      <c r="O151" s="935">
        <v>0</v>
      </c>
      <c r="P151" s="935">
        <v>0</v>
      </c>
      <c r="Q151" s="935">
        <v>0</v>
      </c>
      <c r="R151" s="935">
        <f t="shared" si="21"/>
        <v>0</v>
      </c>
    </row>
    <row r="152" spans="2:18" hidden="1" x14ac:dyDescent="0.2">
      <c r="B152" s="3" t="s">
        <v>198</v>
      </c>
      <c r="C152" s="935">
        <v>0</v>
      </c>
      <c r="D152" s="935">
        <v>0</v>
      </c>
      <c r="E152" s="935">
        <v>0</v>
      </c>
      <c r="F152" s="935">
        <v>0</v>
      </c>
      <c r="G152" s="935">
        <v>0</v>
      </c>
      <c r="H152" s="935">
        <v>0</v>
      </c>
      <c r="I152" s="935">
        <v>0</v>
      </c>
      <c r="J152" s="935">
        <v>0</v>
      </c>
      <c r="K152" s="935">
        <v>0</v>
      </c>
      <c r="L152" s="935">
        <v>0</v>
      </c>
      <c r="M152" s="935">
        <v>0</v>
      </c>
      <c r="N152" s="935">
        <v>0</v>
      </c>
      <c r="O152" s="935">
        <v>0</v>
      </c>
      <c r="P152" s="935">
        <v>0</v>
      </c>
      <c r="Q152" s="935">
        <v>0</v>
      </c>
      <c r="R152" s="935">
        <f t="shared" si="21"/>
        <v>0</v>
      </c>
    </row>
    <row r="153" spans="2:18" hidden="1" x14ac:dyDescent="0.2">
      <c r="B153" s="3" t="s">
        <v>199</v>
      </c>
      <c r="C153" s="935">
        <v>0</v>
      </c>
      <c r="D153" s="935">
        <v>0</v>
      </c>
      <c r="E153" s="935">
        <v>0</v>
      </c>
      <c r="F153" s="935">
        <v>0</v>
      </c>
      <c r="G153" s="935">
        <v>0</v>
      </c>
      <c r="H153" s="935">
        <v>0</v>
      </c>
      <c r="I153" s="935">
        <v>0</v>
      </c>
      <c r="J153" s="935">
        <v>0</v>
      </c>
      <c r="K153" s="935">
        <v>0</v>
      </c>
      <c r="L153" s="935">
        <v>0</v>
      </c>
      <c r="M153" s="935">
        <v>0</v>
      </c>
      <c r="N153" s="935">
        <v>0</v>
      </c>
      <c r="O153" s="935">
        <v>0</v>
      </c>
      <c r="P153" s="935">
        <v>0</v>
      </c>
      <c r="Q153" s="935">
        <v>0</v>
      </c>
      <c r="R153" s="935">
        <f t="shared" si="21"/>
        <v>0</v>
      </c>
    </row>
    <row r="154" spans="2:18" hidden="1" x14ac:dyDescent="0.2">
      <c r="B154" s="3" t="s">
        <v>200</v>
      </c>
      <c r="C154" s="935">
        <v>0</v>
      </c>
      <c r="D154" s="935">
        <v>0</v>
      </c>
      <c r="E154" s="935">
        <v>0</v>
      </c>
      <c r="F154" s="935">
        <v>0</v>
      </c>
      <c r="G154" s="935">
        <v>0</v>
      </c>
      <c r="H154" s="935">
        <v>0</v>
      </c>
      <c r="I154" s="935">
        <v>0</v>
      </c>
      <c r="J154" s="935">
        <v>0</v>
      </c>
      <c r="K154" s="935">
        <v>0</v>
      </c>
      <c r="L154" s="935">
        <v>0</v>
      </c>
      <c r="M154" s="935">
        <v>0</v>
      </c>
      <c r="N154" s="935">
        <v>0</v>
      </c>
      <c r="O154" s="935">
        <v>0</v>
      </c>
      <c r="P154" s="935">
        <v>0</v>
      </c>
      <c r="Q154" s="935">
        <v>0</v>
      </c>
      <c r="R154" s="935">
        <f t="shared" si="21"/>
        <v>0</v>
      </c>
    </row>
    <row r="155" spans="2:18" hidden="1" x14ac:dyDescent="0.2">
      <c r="B155" s="3" t="s">
        <v>201</v>
      </c>
      <c r="C155" s="935">
        <v>0</v>
      </c>
      <c r="D155" s="935">
        <v>0</v>
      </c>
      <c r="E155" s="935">
        <v>0</v>
      </c>
      <c r="F155" s="935">
        <v>0</v>
      </c>
      <c r="G155" s="935">
        <v>0</v>
      </c>
      <c r="H155" s="935">
        <v>0</v>
      </c>
      <c r="I155" s="935">
        <v>0</v>
      </c>
      <c r="J155" s="935">
        <v>0</v>
      </c>
      <c r="K155" s="935">
        <v>0</v>
      </c>
      <c r="L155" s="935">
        <v>0</v>
      </c>
      <c r="M155" s="935">
        <v>0</v>
      </c>
      <c r="N155" s="935">
        <v>0</v>
      </c>
      <c r="O155" s="935">
        <v>0</v>
      </c>
      <c r="P155" s="935">
        <v>0</v>
      </c>
      <c r="Q155" s="935">
        <v>0</v>
      </c>
      <c r="R155" s="935">
        <f t="shared" si="21"/>
        <v>0</v>
      </c>
    </row>
    <row r="156" spans="2:18" hidden="1" x14ac:dyDescent="0.2">
      <c r="B156" s="3" t="s">
        <v>202</v>
      </c>
      <c r="C156" s="935">
        <v>0</v>
      </c>
      <c r="D156" s="935">
        <v>0</v>
      </c>
      <c r="E156" s="935">
        <v>0</v>
      </c>
      <c r="F156" s="935">
        <v>0</v>
      </c>
      <c r="G156" s="935">
        <v>0</v>
      </c>
      <c r="H156" s="935">
        <v>0</v>
      </c>
      <c r="I156" s="935">
        <v>0</v>
      </c>
      <c r="J156" s="935">
        <v>0</v>
      </c>
      <c r="K156" s="935">
        <v>0</v>
      </c>
      <c r="L156" s="935">
        <v>0</v>
      </c>
      <c r="M156" s="935">
        <v>0</v>
      </c>
      <c r="N156" s="935">
        <v>0</v>
      </c>
      <c r="O156" s="935">
        <v>0</v>
      </c>
      <c r="P156" s="935">
        <v>0</v>
      </c>
      <c r="Q156" s="935">
        <v>0</v>
      </c>
      <c r="R156" s="935">
        <f t="shared" si="21"/>
        <v>0</v>
      </c>
    </row>
    <row r="157" spans="2:18" hidden="1" x14ac:dyDescent="0.2">
      <c r="B157" s="3" t="s">
        <v>203</v>
      </c>
      <c r="C157" s="935">
        <v>0</v>
      </c>
      <c r="D157" s="935">
        <v>0</v>
      </c>
      <c r="E157" s="935">
        <v>0</v>
      </c>
      <c r="F157" s="935">
        <v>0</v>
      </c>
      <c r="G157" s="935">
        <v>0</v>
      </c>
      <c r="H157" s="935">
        <v>0</v>
      </c>
      <c r="I157" s="935">
        <v>0</v>
      </c>
      <c r="J157" s="935">
        <v>0</v>
      </c>
      <c r="K157" s="935">
        <v>0</v>
      </c>
      <c r="L157" s="935">
        <v>0</v>
      </c>
      <c r="M157" s="935">
        <v>0</v>
      </c>
      <c r="N157" s="935">
        <v>0</v>
      </c>
      <c r="O157" s="935">
        <v>0</v>
      </c>
      <c r="P157" s="935">
        <v>0</v>
      </c>
      <c r="Q157" s="935">
        <v>0</v>
      </c>
      <c r="R157" s="935">
        <f t="shared" si="21"/>
        <v>0</v>
      </c>
    </row>
    <row r="158" spans="2:18" hidden="1" x14ac:dyDescent="0.2">
      <c r="B158" s="3" t="s">
        <v>204</v>
      </c>
      <c r="C158" s="935">
        <v>0</v>
      </c>
      <c r="D158" s="935">
        <v>0</v>
      </c>
      <c r="E158" s="935">
        <v>0</v>
      </c>
      <c r="F158" s="935">
        <v>0</v>
      </c>
      <c r="G158" s="935">
        <v>0</v>
      </c>
      <c r="H158" s="935">
        <v>0</v>
      </c>
      <c r="I158" s="935">
        <v>0</v>
      </c>
      <c r="J158" s="935">
        <v>0</v>
      </c>
      <c r="K158" s="935">
        <v>0</v>
      </c>
      <c r="L158" s="935">
        <v>0</v>
      </c>
      <c r="M158" s="935">
        <v>0</v>
      </c>
      <c r="N158" s="935">
        <v>0</v>
      </c>
      <c r="O158" s="935">
        <v>0</v>
      </c>
      <c r="P158" s="935">
        <v>0</v>
      </c>
      <c r="Q158" s="935">
        <v>0</v>
      </c>
      <c r="R158" s="935">
        <f t="shared" si="21"/>
        <v>0</v>
      </c>
    </row>
    <row r="159" spans="2:18" hidden="1" x14ac:dyDescent="0.2">
      <c r="B159" s="3" t="s">
        <v>205</v>
      </c>
      <c r="C159" s="935">
        <v>0</v>
      </c>
      <c r="D159" s="935">
        <v>0</v>
      </c>
      <c r="E159" s="935">
        <v>0</v>
      </c>
      <c r="F159" s="935">
        <v>0</v>
      </c>
      <c r="G159" s="935">
        <v>0</v>
      </c>
      <c r="H159" s="935">
        <v>0</v>
      </c>
      <c r="I159" s="935">
        <v>0</v>
      </c>
      <c r="J159" s="935">
        <v>0</v>
      </c>
      <c r="K159" s="935">
        <v>0</v>
      </c>
      <c r="L159" s="935">
        <v>0</v>
      </c>
      <c r="M159" s="935">
        <v>0</v>
      </c>
      <c r="N159" s="935">
        <v>0</v>
      </c>
      <c r="O159" s="935">
        <v>0</v>
      </c>
      <c r="P159" s="935">
        <v>0</v>
      </c>
      <c r="Q159" s="935">
        <v>0</v>
      </c>
      <c r="R159" s="935">
        <f t="shared" si="21"/>
        <v>0</v>
      </c>
    </row>
    <row r="160" spans="2:18" x14ac:dyDescent="0.2">
      <c r="B160" s="3" t="s">
        <v>206</v>
      </c>
      <c r="C160" s="935">
        <v>0</v>
      </c>
      <c r="D160" s="935">
        <v>0</v>
      </c>
      <c r="E160" s="935">
        <v>0</v>
      </c>
      <c r="F160" s="935">
        <v>0</v>
      </c>
      <c r="G160" s="935">
        <v>0</v>
      </c>
      <c r="H160" s="935">
        <v>0</v>
      </c>
      <c r="I160" s="935">
        <v>0</v>
      </c>
      <c r="J160" s="935">
        <v>0</v>
      </c>
      <c r="K160" s="935">
        <v>0</v>
      </c>
      <c r="L160" s="935">
        <v>0</v>
      </c>
      <c r="M160" s="935">
        <v>0</v>
      </c>
      <c r="N160" s="935">
        <v>0</v>
      </c>
      <c r="O160" s="935">
        <v>0</v>
      </c>
      <c r="P160" s="935">
        <v>0</v>
      </c>
      <c r="Q160" s="935">
        <v>-70000</v>
      </c>
      <c r="R160" s="935">
        <f t="shared" si="21"/>
        <v>-70000</v>
      </c>
    </row>
    <row r="161" spans="1:18" hidden="1" x14ac:dyDescent="0.2">
      <c r="B161" s="3" t="s">
        <v>207</v>
      </c>
      <c r="C161" s="935">
        <v>0</v>
      </c>
      <c r="D161" s="935">
        <v>0</v>
      </c>
      <c r="E161" s="935">
        <v>0</v>
      </c>
      <c r="F161" s="935">
        <v>0</v>
      </c>
      <c r="G161" s="935">
        <v>0</v>
      </c>
      <c r="H161" s="935">
        <v>0</v>
      </c>
      <c r="I161" s="935">
        <v>0</v>
      </c>
      <c r="J161" s="935">
        <v>0</v>
      </c>
      <c r="K161" s="935">
        <v>0</v>
      </c>
      <c r="L161" s="935">
        <v>0</v>
      </c>
      <c r="M161" s="935">
        <v>0</v>
      </c>
      <c r="N161" s="935">
        <v>0</v>
      </c>
      <c r="O161" s="935">
        <v>0</v>
      </c>
      <c r="P161" s="935">
        <v>0</v>
      </c>
      <c r="Q161" s="935">
        <v>0</v>
      </c>
      <c r="R161" s="935">
        <f t="shared" si="21"/>
        <v>0</v>
      </c>
    </row>
    <row r="162" spans="1:18" hidden="1" x14ac:dyDescent="0.2">
      <c r="B162" s="3" t="s">
        <v>208</v>
      </c>
      <c r="C162" s="935">
        <v>0</v>
      </c>
      <c r="D162" s="935">
        <v>0</v>
      </c>
      <c r="E162" s="935">
        <v>0</v>
      </c>
      <c r="F162" s="935">
        <v>0</v>
      </c>
      <c r="G162" s="935">
        <v>0</v>
      </c>
      <c r="H162" s="935">
        <v>0</v>
      </c>
      <c r="I162" s="935">
        <v>0</v>
      </c>
      <c r="J162" s="935">
        <v>0</v>
      </c>
      <c r="K162" s="935">
        <v>0</v>
      </c>
      <c r="L162" s="935">
        <v>0</v>
      </c>
      <c r="M162" s="935">
        <v>0</v>
      </c>
      <c r="N162" s="935">
        <v>0</v>
      </c>
      <c r="O162" s="935">
        <v>0</v>
      </c>
      <c r="P162" s="935">
        <v>0</v>
      </c>
      <c r="Q162" s="935">
        <v>0</v>
      </c>
      <c r="R162" s="935">
        <f t="shared" si="21"/>
        <v>0</v>
      </c>
    </row>
    <row r="163" spans="1:18" hidden="1" x14ac:dyDescent="0.2">
      <c r="B163" s="3" t="s">
        <v>209</v>
      </c>
      <c r="C163" s="935">
        <v>0</v>
      </c>
      <c r="D163" s="935">
        <v>0</v>
      </c>
      <c r="E163" s="935">
        <v>0</v>
      </c>
      <c r="F163" s="935">
        <v>0</v>
      </c>
      <c r="G163" s="935">
        <v>0</v>
      </c>
      <c r="H163" s="935">
        <v>0</v>
      </c>
      <c r="I163" s="935">
        <v>0</v>
      </c>
      <c r="J163" s="935">
        <v>0</v>
      </c>
      <c r="K163" s="935">
        <v>0</v>
      </c>
      <c r="L163" s="935">
        <v>0</v>
      </c>
      <c r="M163" s="935">
        <v>0</v>
      </c>
      <c r="N163" s="935">
        <v>0</v>
      </c>
      <c r="O163" s="935">
        <v>0</v>
      </c>
      <c r="P163" s="935">
        <v>0</v>
      </c>
      <c r="Q163" s="935">
        <v>0</v>
      </c>
      <c r="R163" s="935">
        <f t="shared" si="21"/>
        <v>0</v>
      </c>
    </row>
    <row r="164" spans="1:18" hidden="1" x14ac:dyDescent="0.2">
      <c r="B164" s="3" t="s">
        <v>210</v>
      </c>
      <c r="C164" s="935">
        <v>0</v>
      </c>
      <c r="D164" s="935">
        <v>0</v>
      </c>
      <c r="E164" s="935">
        <v>0</v>
      </c>
      <c r="F164" s="935">
        <v>0</v>
      </c>
      <c r="G164" s="935">
        <v>0</v>
      </c>
      <c r="H164" s="935">
        <v>0</v>
      </c>
      <c r="I164" s="935">
        <v>0</v>
      </c>
      <c r="J164" s="935">
        <v>0</v>
      </c>
      <c r="K164" s="935">
        <v>0</v>
      </c>
      <c r="L164" s="935">
        <v>0</v>
      </c>
      <c r="M164" s="935">
        <v>0</v>
      </c>
      <c r="N164" s="935">
        <v>0</v>
      </c>
      <c r="O164" s="935">
        <v>0</v>
      </c>
      <c r="P164" s="935">
        <v>0</v>
      </c>
      <c r="Q164" s="935">
        <v>0</v>
      </c>
      <c r="R164" s="935">
        <f t="shared" si="21"/>
        <v>0</v>
      </c>
    </row>
    <row r="165" spans="1:18" hidden="1" x14ac:dyDescent="0.2">
      <c r="B165" s="3" t="s">
        <v>211</v>
      </c>
      <c r="C165" s="935">
        <v>0</v>
      </c>
      <c r="D165" s="935">
        <v>0</v>
      </c>
      <c r="E165" s="935">
        <v>0</v>
      </c>
      <c r="F165" s="935">
        <v>0</v>
      </c>
      <c r="G165" s="935">
        <v>0</v>
      </c>
      <c r="H165" s="935">
        <v>0</v>
      </c>
      <c r="I165" s="935">
        <v>0</v>
      </c>
      <c r="J165" s="935">
        <v>0</v>
      </c>
      <c r="K165" s="935">
        <v>0</v>
      </c>
      <c r="L165" s="935">
        <v>0</v>
      </c>
      <c r="M165" s="935">
        <v>0</v>
      </c>
      <c r="N165" s="935">
        <v>0</v>
      </c>
      <c r="O165" s="935">
        <v>0</v>
      </c>
      <c r="P165" s="935">
        <v>0</v>
      </c>
      <c r="Q165" s="935">
        <v>0</v>
      </c>
      <c r="R165" s="935">
        <f t="shared" si="21"/>
        <v>0</v>
      </c>
    </row>
    <row r="166" spans="1:18" hidden="1" x14ac:dyDescent="0.2">
      <c r="B166" s="3" t="s">
        <v>212</v>
      </c>
      <c r="C166" s="935">
        <v>0</v>
      </c>
      <c r="D166" s="935">
        <v>0</v>
      </c>
      <c r="E166" s="935">
        <v>0</v>
      </c>
      <c r="F166" s="935">
        <v>0</v>
      </c>
      <c r="G166" s="935">
        <v>0</v>
      </c>
      <c r="H166" s="935">
        <v>0</v>
      </c>
      <c r="I166" s="935">
        <v>0</v>
      </c>
      <c r="J166" s="935">
        <v>0</v>
      </c>
      <c r="K166" s="935">
        <v>0</v>
      </c>
      <c r="L166" s="935">
        <v>0</v>
      </c>
      <c r="M166" s="935">
        <v>0</v>
      </c>
      <c r="N166" s="935">
        <v>0</v>
      </c>
      <c r="O166" s="935">
        <v>0</v>
      </c>
      <c r="P166" s="935">
        <v>0</v>
      </c>
      <c r="Q166" s="935">
        <v>0</v>
      </c>
      <c r="R166" s="935">
        <f t="shared" si="21"/>
        <v>0</v>
      </c>
    </row>
    <row r="167" spans="1:18" hidden="1" x14ac:dyDescent="0.2">
      <c r="B167" s="3" t="s">
        <v>213</v>
      </c>
      <c r="C167" s="935">
        <v>0</v>
      </c>
      <c r="D167" s="935">
        <v>0</v>
      </c>
      <c r="E167" s="935">
        <v>0</v>
      </c>
      <c r="F167" s="935">
        <v>0</v>
      </c>
      <c r="G167" s="935">
        <v>0</v>
      </c>
      <c r="H167" s="935">
        <v>0</v>
      </c>
      <c r="I167" s="935">
        <v>0</v>
      </c>
      <c r="J167" s="935">
        <v>0</v>
      </c>
      <c r="K167" s="935">
        <v>0</v>
      </c>
      <c r="L167" s="935">
        <v>0</v>
      </c>
      <c r="M167" s="935">
        <v>0</v>
      </c>
      <c r="N167" s="935">
        <v>0</v>
      </c>
      <c r="O167" s="935">
        <v>0</v>
      </c>
      <c r="P167" s="935">
        <v>0</v>
      </c>
      <c r="Q167" s="935">
        <v>0</v>
      </c>
      <c r="R167" s="935">
        <f t="shared" si="21"/>
        <v>0</v>
      </c>
    </row>
    <row r="168" spans="1:18" hidden="1" x14ac:dyDescent="0.2">
      <c r="B168" s="3" t="s">
        <v>214</v>
      </c>
      <c r="C168" s="935">
        <v>0</v>
      </c>
      <c r="D168" s="935">
        <v>0</v>
      </c>
      <c r="E168" s="935">
        <v>0</v>
      </c>
      <c r="F168" s="935">
        <v>0</v>
      </c>
      <c r="G168" s="935">
        <v>0</v>
      </c>
      <c r="H168" s="935">
        <v>0</v>
      </c>
      <c r="I168" s="935">
        <v>0</v>
      </c>
      <c r="J168" s="935">
        <v>0</v>
      </c>
      <c r="K168" s="935">
        <v>0</v>
      </c>
      <c r="L168" s="935">
        <v>0</v>
      </c>
      <c r="M168" s="935">
        <v>0</v>
      </c>
      <c r="N168" s="935">
        <v>0</v>
      </c>
      <c r="O168" s="935">
        <v>0</v>
      </c>
      <c r="P168" s="935">
        <v>0</v>
      </c>
      <c r="Q168" s="935">
        <v>0</v>
      </c>
      <c r="R168" s="935">
        <f t="shared" si="21"/>
        <v>0</v>
      </c>
    </row>
    <row r="169" spans="1:18" hidden="1" x14ac:dyDescent="0.2">
      <c r="B169" s="3" t="s">
        <v>215</v>
      </c>
      <c r="C169" s="935">
        <v>0</v>
      </c>
      <c r="D169" s="935">
        <v>0</v>
      </c>
      <c r="E169" s="935">
        <v>0</v>
      </c>
      <c r="F169" s="935">
        <v>0</v>
      </c>
      <c r="G169" s="935">
        <v>0</v>
      </c>
      <c r="H169" s="935">
        <v>0</v>
      </c>
      <c r="I169" s="935">
        <v>0</v>
      </c>
      <c r="J169" s="935">
        <v>0</v>
      </c>
      <c r="K169" s="935">
        <v>0</v>
      </c>
      <c r="L169" s="935">
        <v>0</v>
      </c>
      <c r="M169" s="935">
        <v>0</v>
      </c>
      <c r="N169" s="935">
        <v>0</v>
      </c>
      <c r="O169" s="935">
        <v>0</v>
      </c>
      <c r="P169" s="935">
        <v>0</v>
      </c>
      <c r="Q169" s="935">
        <v>0</v>
      </c>
      <c r="R169" s="935">
        <f t="shared" si="21"/>
        <v>0</v>
      </c>
    </row>
    <row r="170" spans="1:18" hidden="1" x14ac:dyDescent="0.2">
      <c r="B170" s="3" t="s">
        <v>216</v>
      </c>
      <c r="C170" s="935">
        <v>0</v>
      </c>
      <c r="D170" s="935">
        <v>0</v>
      </c>
      <c r="E170" s="935">
        <v>0</v>
      </c>
      <c r="F170" s="935">
        <v>0</v>
      </c>
      <c r="G170" s="935">
        <v>0</v>
      </c>
      <c r="H170" s="935">
        <v>0</v>
      </c>
      <c r="I170" s="935">
        <v>0</v>
      </c>
      <c r="J170" s="935">
        <v>0</v>
      </c>
      <c r="K170" s="935">
        <v>0</v>
      </c>
      <c r="L170" s="935">
        <v>0</v>
      </c>
      <c r="M170" s="935">
        <v>0</v>
      </c>
      <c r="N170" s="935">
        <v>0</v>
      </c>
      <c r="O170" s="935">
        <v>0</v>
      </c>
      <c r="P170" s="935">
        <v>0</v>
      </c>
      <c r="Q170" s="935">
        <v>0</v>
      </c>
      <c r="R170" s="935">
        <f t="shared" si="21"/>
        <v>0</v>
      </c>
    </row>
    <row r="171" spans="1:18" hidden="1" x14ac:dyDescent="0.2">
      <c r="B171" s="3" t="s">
        <v>217</v>
      </c>
      <c r="C171" s="935">
        <v>0</v>
      </c>
      <c r="D171" s="935">
        <v>0</v>
      </c>
      <c r="E171" s="935">
        <v>0</v>
      </c>
      <c r="F171" s="935">
        <v>0</v>
      </c>
      <c r="G171" s="935">
        <v>0</v>
      </c>
      <c r="H171" s="935">
        <v>0</v>
      </c>
      <c r="I171" s="935">
        <v>0</v>
      </c>
      <c r="J171" s="935">
        <v>0</v>
      </c>
      <c r="K171" s="935">
        <v>0</v>
      </c>
      <c r="L171" s="935">
        <v>0</v>
      </c>
      <c r="M171" s="935">
        <v>0</v>
      </c>
      <c r="N171" s="935">
        <v>0</v>
      </c>
      <c r="O171" s="935">
        <v>0</v>
      </c>
      <c r="P171" s="935">
        <v>0</v>
      </c>
      <c r="Q171" s="935">
        <v>0</v>
      </c>
      <c r="R171" s="935">
        <f t="shared" si="21"/>
        <v>0</v>
      </c>
    </row>
    <row r="172" spans="1:18" hidden="1" x14ac:dyDescent="0.2">
      <c r="B172" s="3" t="s">
        <v>218</v>
      </c>
      <c r="C172" s="935">
        <v>0</v>
      </c>
      <c r="D172" s="935">
        <v>0</v>
      </c>
      <c r="E172" s="935">
        <v>0</v>
      </c>
      <c r="F172" s="935">
        <v>0</v>
      </c>
      <c r="G172" s="935">
        <v>0</v>
      </c>
      <c r="H172" s="935">
        <v>0</v>
      </c>
      <c r="I172" s="935">
        <v>0</v>
      </c>
      <c r="J172" s="935">
        <v>0</v>
      </c>
      <c r="K172" s="935">
        <v>0</v>
      </c>
      <c r="L172" s="935">
        <v>0</v>
      </c>
      <c r="M172" s="935">
        <v>0</v>
      </c>
      <c r="N172" s="935">
        <v>0</v>
      </c>
      <c r="O172" s="935">
        <v>0</v>
      </c>
      <c r="P172" s="935">
        <v>0</v>
      </c>
      <c r="Q172" s="935">
        <v>0</v>
      </c>
      <c r="R172" s="935">
        <f t="shared" si="21"/>
        <v>0</v>
      </c>
    </row>
    <row r="173" spans="1:18" hidden="1" x14ac:dyDescent="0.2">
      <c r="B173" s="3" t="s">
        <v>219</v>
      </c>
      <c r="C173" s="935">
        <v>0</v>
      </c>
      <c r="D173" s="935">
        <v>0</v>
      </c>
      <c r="E173" s="935">
        <v>0</v>
      </c>
      <c r="F173" s="935">
        <v>0</v>
      </c>
      <c r="G173" s="935">
        <v>0</v>
      </c>
      <c r="H173" s="935">
        <v>0</v>
      </c>
      <c r="I173" s="935">
        <v>0</v>
      </c>
      <c r="J173" s="935">
        <v>0</v>
      </c>
      <c r="K173" s="935">
        <v>0</v>
      </c>
      <c r="L173" s="935">
        <v>0</v>
      </c>
      <c r="M173" s="935">
        <v>0</v>
      </c>
      <c r="N173" s="935">
        <v>0</v>
      </c>
      <c r="O173" s="935">
        <v>0</v>
      </c>
      <c r="P173" s="935">
        <v>0</v>
      </c>
      <c r="Q173" s="935">
        <v>0</v>
      </c>
      <c r="R173" s="935">
        <f t="shared" si="21"/>
        <v>0</v>
      </c>
    </row>
    <row r="174" spans="1:18" hidden="1" x14ac:dyDescent="0.2">
      <c r="B174" s="3" t="s">
        <v>220</v>
      </c>
      <c r="C174" s="935">
        <v>0</v>
      </c>
      <c r="D174" s="935">
        <v>0</v>
      </c>
      <c r="E174" s="935">
        <v>0</v>
      </c>
      <c r="F174" s="935">
        <v>0</v>
      </c>
      <c r="G174" s="935">
        <v>0</v>
      </c>
      <c r="H174" s="935">
        <v>0</v>
      </c>
      <c r="I174" s="935">
        <v>0</v>
      </c>
      <c r="J174" s="935">
        <v>0</v>
      </c>
      <c r="K174" s="935">
        <v>0</v>
      </c>
      <c r="L174" s="935">
        <v>0</v>
      </c>
      <c r="M174" s="935">
        <v>0</v>
      </c>
      <c r="N174" s="935">
        <v>0</v>
      </c>
      <c r="O174" s="935">
        <v>0</v>
      </c>
      <c r="P174" s="935">
        <v>0</v>
      </c>
      <c r="Q174" s="935">
        <v>0</v>
      </c>
      <c r="R174" s="935">
        <f t="shared" si="21"/>
        <v>0</v>
      </c>
    </row>
    <row r="175" spans="1:18" hidden="1" x14ac:dyDescent="0.2">
      <c r="B175" s="3" t="s">
        <v>221</v>
      </c>
      <c r="C175" s="935">
        <v>0</v>
      </c>
      <c r="D175" s="935">
        <v>0</v>
      </c>
      <c r="E175" s="935">
        <v>0</v>
      </c>
      <c r="F175" s="935">
        <v>0</v>
      </c>
      <c r="G175" s="935">
        <v>0</v>
      </c>
      <c r="H175" s="935">
        <v>0</v>
      </c>
      <c r="I175" s="935">
        <v>0</v>
      </c>
      <c r="J175" s="935">
        <v>0</v>
      </c>
      <c r="K175" s="935">
        <v>0</v>
      </c>
      <c r="L175" s="935">
        <v>0</v>
      </c>
      <c r="M175" s="935">
        <v>0</v>
      </c>
      <c r="N175" s="935">
        <v>0</v>
      </c>
      <c r="O175" s="935">
        <v>0</v>
      </c>
      <c r="P175" s="935">
        <v>0</v>
      </c>
      <c r="Q175" s="935">
        <v>0</v>
      </c>
      <c r="R175" s="935">
        <f t="shared" si="21"/>
        <v>0</v>
      </c>
    </row>
    <row r="176" spans="1:18" hidden="1" x14ac:dyDescent="0.2">
      <c r="A176" s="2" t="s">
        <v>10</v>
      </c>
      <c r="B176" s="3" t="s">
        <v>142</v>
      </c>
      <c r="C176" s="935">
        <v>0</v>
      </c>
      <c r="D176" s="935">
        <v>0</v>
      </c>
      <c r="E176" s="935">
        <v>0</v>
      </c>
      <c r="F176" s="935">
        <v>0</v>
      </c>
      <c r="G176" s="935">
        <v>0</v>
      </c>
      <c r="H176" s="935">
        <v>0</v>
      </c>
      <c r="I176" s="935">
        <v>0</v>
      </c>
      <c r="J176" s="935">
        <v>0</v>
      </c>
      <c r="K176" s="935">
        <v>0</v>
      </c>
      <c r="L176" s="935">
        <v>0</v>
      </c>
      <c r="M176" s="935">
        <v>0</v>
      </c>
      <c r="N176" s="935">
        <v>0</v>
      </c>
      <c r="O176" s="935">
        <v>0</v>
      </c>
      <c r="P176" s="935">
        <v>0</v>
      </c>
      <c r="Q176" s="935">
        <v>0</v>
      </c>
      <c r="R176" s="935">
        <f t="shared" si="21"/>
        <v>0</v>
      </c>
    </row>
    <row r="177" spans="1:18" hidden="1" x14ac:dyDescent="0.2">
      <c r="A177" s="2" t="s">
        <v>10</v>
      </c>
      <c r="B177" s="3" t="s">
        <v>141</v>
      </c>
      <c r="C177" s="935">
        <v>0</v>
      </c>
      <c r="D177" s="935">
        <v>0</v>
      </c>
      <c r="E177" s="935">
        <v>0</v>
      </c>
      <c r="F177" s="935">
        <v>0</v>
      </c>
      <c r="G177" s="935">
        <v>0</v>
      </c>
      <c r="H177" s="935">
        <v>0</v>
      </c>
      <c r="I177" s="935">
        <v>0</v>
      </c>
      <c r="J177" s="935">
        <v>0</v>
      </c>
      <c r="K177" s="935">
        <v>0</v>
      </c>
      <c r="L177" s="935">
        <v>0</v>
      </c>
      <c r="M177" s="935">
        <v>0</v>
      </c>
      <c r="N177" s="935">
        <v>0</v>
      </c>
      <c r="O177" s="935">
        <v>0</v>
      </c>
      <c r="P177" s="935">
        <v>0</v>
      </c>
      <c r="Q177" s="935">
        <v>0</v>
      </c>
      <c r="R177" s="935">
        <f t="shared" si="21"/>
        <v>0</v>
      </c>
    </row>
    <row r="178" spans="1:18" hidden="1" x14ac:dyDescent="0.2">
      <c r="A178" s="2" t="s">
        <v>33</v>
      </c>
      <c r="B178" s="3" t="s">
        <v>222</v>
      </c>
      <c r="C178" s="935">
        <v>0</v>
      </c>
      <c r="D178" s="935">
        <v>0</v>
      </c>
      <c r="E178" s="935">
        <v>0</v>
      </c>
      <c r="F178" s="935">
        <v>0</v>
      </c>
      <c r="G178" s="935">
        <v>0</v>
      </c>
      <c r="H178" s="935">
        <v>0</v>
      </c>
      <c r="I178" s="935">
        <v>0</v>
      </c>
      <c r="J178" s="935">
        <v>0</v>
      </c>
      <c r="K178" s="935">
        <v>0</v>
      </c>
      <c r="L178" s="935">
        <v>0</v>
      </c>
      <c r="M178" s="935">
        <v>0</v>
      </c>
      <c r="N178" s="935">
        <v>0</v>
      </c>
      <c r="O178" s="935">
        <v>0</v>
      </c>
      <c r="P178" s="935">
        <v>0</v>
      </c>
      <c r="Q178" s="935">
        <v>0</v>
      </c>
      <c r="R178" s="935">
        <f t="shared" si="21"/>
        <v>0</v>
      </c>
    </row>
    <row r="179" spans="1:18" hidden="1" x14ac:dyDescent="0.2">
      <c r="A179" s="2" t="s">
        <v>10</v>
      </c>
      <c r="B179" s="3" t="s">
        <v>138</v>
      </c>
      <c r="C179" s="935">
        <v>0</v>
      </c>
      <c r="D179" s="935">
        <v>0</v>
      </c>
      <c r="E179" s="935">
        <v>0</v>
      </c>
      <c r="F179" s="935">
        <v>0</v>
      </c>
      <c r="G179" s="935">
        <v>0</v>
      </c>
      <c r="H179" s="935">
        <v>0</v>
      </c>
      <c r="I179" s="935">
        <v>0</v>
      </c>
      <c r="J179" s="935">
        <v>0</v>
      </c>
      <c r="K179" s="935">
        <v>0</v>
      </c>
      <c r="L179" s="935">
        <v>0</v>
      </c>
      <c r="M179" s="935">
        <v>0</v>
      </c>
      <c r="N179" s="935">
        <v>0</v>
      </c>
      <c r="O179" s="935">
        <v>0</v>
      </c>
      <c r="P179" s="935">
        <v>0</v>
      </c>
      <c r="Q179" s="935">
        <v>0</v>
      </c>
      <c r="R179" s="935">
        <f t="shared" si="21"/>
        <v>0</v>
      </c>
    </row>
    <row r="180" spans="1:18" hidden="1" x14ac:dyDescent="0.2">
      <c r="A180" s="2" t="s">
        <v>10</v>
      </c>
      <c r="B180" s="3" t="s">
        <v>136</v>
      </c>
      <c r="C180" s="935">
        <v>0</v>
      </c>
      <c r="D180" s="935">
        <v>0</v>
      </c>
      <c r="E180" s="935">
        <v>0</v>
      </c>
      <c r="F180" s="935">
        <v>0</v>
      </c>
      <c r="G180" s="935">
        <v>0</v>
      </c>
      <c r="H180" s="935">
        <v>0</v>
      </c>
      <c r="I180" s="935">
        <v>0</v>
      </c>
      <c r="J180" s="935">
        <v>0</v>
      </c>
      <c r="K180" s="935">
        <v>0</v>
      </c>
      <c r="L180" s="935">
        <v>0</v>
      </c>
      <c r="M180" s="935">
        <v>0</v>
      </c>
      <c r="N180" s="935">
        <v>0</v>
      </c>
      <c r="O180" s="935">
        <v>0</v>
      </c>
      <c r="P180" s="935">
        <v>0</v>
      </c>
      <c r="Q180" s="935">
        <v>0</v>
      </c>
      <c r="R180" s="935">
        <f t="shared" si="21"/>
        <v>0</v>
      </c>
    </row>
    <row r="181" spans="1:18" hidden="1" x14ac:dyDescent="0.2">
      <c r="B181" s="3" t="s">
        <v>223</v>
      </c>
      <c r="C181" s="935">
        <v>0</v>
      </c>
      <c r="D181" s="935">
        <v>0</v>
      </c>
      <c r="E181" s="935">
        <v>0</v>
      </c>
      <c r="F181" s="935">
        <v>0</v>
      </c>
      <c r="G181" s="935">
        <v>0</v>
      </c>
      <c r="H181" s="935">
        <v>0</v>
      </c>
      <c r="I181" s="935">
        <v>0</v>
      </c>
      <c r="J181" s="935">
        <v>0</v>
      </c>
      <c r="K181" s="935">
        <v>0</v>
      </c>
      <c r="L181" s="935">
        <v>0</v>
      </c>
      <c r="M181" s="935">
        <v>0</v>
      </c>
      <c r="N181" s="935">
        <v>0</v>
      </c>
      <c r="O181" s="935">
        <v>0</v>
      </c>
      <c r="P181" s="935">
        <v>0</v>
      </c>
      <c r="Q181" s="935">
        <v>0</v>
      </c>
      <c r="R181" s="935">
        <f t="shared" si="21"/>
        <v>0</v>
      </c>
    </row>
    <row r="182" spans="1:18" hidden="1" x14ac:dyDescent="0.2">
      <c r="B182" s="3" t="s">
        <v>224</v>
      </c>
      <c r="C182" s="935">
        <v>0</v>
      </c>
      <c r="D182" s="935">
        <v>0</v>
      </c>
      <c r="E182" s="935">
        <v>0</v>
      </c>
      <c r="F182" s="935">
        <v>0</v>
      </c>
      <c r="G182" s="935">
        <v>0</v>
      </c>
      <c r="H182" s="935">
        <v>0</v>
      </c>
      <c r="I182" s="935">
        <v>0</v>
      </c>
      <c r="J182" s="935">
        <v>0</v>
      </c>
      <c r="K182" s="935">
        <v>0</v>
      </c>
      <c r="L182" s="935">
        <v>0</v>
      </c>
      <c r="M182" s="935">
        <v>0</v>
      </c>
      <c r="N182" s="935">
        <v>0</v>
      </c>
      <c r="O182" s="935">
        <v>0</v>
      </c>
      <c r="P182" s="935">
        <v>0</v>
      </c>
      <c r="Q182" s="935">
        <v>0</v>
      </c>
      <c r="R182" s="935">
        <f t="shared" si="21"/>
        <v>0</v>
      </c>
    </row>
    <row r="183" spans="1:18" hidden="1" x14ac:dyDescent="0.2">
      <c r="B183" s="3" t="s">
        <v>225</v>
      </c>
      <c r="C183" s="935">
        <v>0</v>
      </c>
      <c r="D183" s="935">
        <v>0</v>
      </c>
      <c r="E183" s="935">
        <v>0</v>
      </c>
      <c r="F183" s="935">
        <v>0</v>
      </c>
      <c r="G183" s="935">
        <v>0</v>
      </c>
      <c r="H183" s="935">
        <v>0</v>
      </c>
      <c r="I183" s="935">
        <v>0</v>
      </c>
      <c r="J183" s="935">
        <v>0</v>
      </c>
      <c r="K183" s="935">
        <v>0</v>
      </c>
      <c r="L183" s="935">
        <v>0</v>
      </c>
      <c r="M183" s="935">
        <v>0</v>
      </c>
      <c r="N183" s="935">
        <v>0</v>
      </c>
      <c r="O183" s="935">
        <v>0</v>
      </c>
      <c r="P183" s="935">
        <v>0</v>
      </c>
      <c r="Q183" s="935">
        <v>0</v>
      </c>
      <c r="R183" s="935">
        <f t="shared" si="21"/>
        <v>0</v>
      </c>
    </row>
    <row r="184" spans="1:18" hidden="1" x14ac:dyDescent="0.2">
      <c r="B184" s="3" t="s">
        <v>226</v>
      </c>
      <c r="C184" s="935">
        <v>0</v>
      </c>
      <c r="D184" s="935">
        <v>0</v>
      </c>
      <c r="E184" s="935">
        <v>0</v>
      </c>
      <c r="F184" s="935">
        <v>0</v>
      </c>
      <c r="G184" s="935">
        <v>0</v>
      </c>
      <c r="H184" s="935">
        <v>0</v>
      </c>
      <c r="I184" s="935">
        <v>0</v>
      </c>
      <c r="J184" s="935">
        <v>0</v>
      </c>
      <c r="K184" s="935">
        <v>0</v>
      </c>
      <c r="L184" s="935">
        <v>0</v>
      </c>
      <c r="M184" s="935">
        <v>0</v>
      </c>
      <c r="N184" s="935">
        <v>0</v>
      </c>
      <c r="O184" s="935">
        <v>0</v>
      </c>
      <c r="P184" s="935">
        <v>0</v>
      </c>
      <c r="Q184" s="935">
        <v>0</v>
      </c>
      <c r="R184" s="935">
        <f t="shared" si="21"/>
        <v>0</v>
      </c>
    </row>
    <row r="185" spans="1:18" hidden="1" x14ac:dyDescent="0.2">
      <c r="B185" s="3" t="s">
        <v>227</v>
      </c>
      <c r="C185" s="935">
        <v>0</v>
      </c>
      <c r="D185" s="935">
        <v>0</v>
      </c>
      <c r="E185" s="935">
        <v>0</v>
      </c>
      <c r="F185" s="935">
        <v>0</v>
      </c>
      <c r="G185" s="935">
        <v>0</v>
      </c>
      <c r="H185" s="935">
        <v>0</v>
      </c>
      <c r="I185" s="935">
        <v>0</v>
      </c>
      <c r="J185" s="935">
        <v>0</v>
      </c>
      <c r="K185" s="935">
        <v>0</v>
      </c>
      <c r="L185" s="935">
        <v>0</v>
      </c>
      <c r="M185" s="935">
        <v>0</v>
      </c>
      <c r="N185" s="935">
        <v>0</v>
      </c>
      <c r="O185" s="935">
        <v>0</v>
      </c>
      <c r="P185" s="935">
        <v>0</v>
      </c>
      <c r="Q185" s="935">
        <v>0</v>
      </c>
      <c r="R185" s="935">
        <f t="shared" si="21"/>
        <v>0</v>
      </c>
    </row>
    <row r="186" spans="1:18" hidden="1" x14ac:dyDescent="0.2">
      <c r="B186" s="3" t="s">
        <v>228</v>
      </c>
      <c r="C186" s="935">
        <v>0</v>
      </c>
      <c r="D186" s="935">
        <v>0</v>
      </c>
      <c r="E186" s="935">
        <v>0</v>
      </c>
      <c r="F186" s="935">
        <v>0</v>
      </c>
      <c r="G186" s="935">
        <v>0</v>
      </c>
      <c r="H186" s="935">
        <v>0</v>
      </c>
      <c r="I186" s="935">
        <v>0</v>
      </c>
      <c r="J186" s="935">
        <v>0</v>
      </c>
      <c r="K186" s="935">
        <v>0</v>
      </c>
      <c r="L186" s="935">
        <v>0</v>
      </c>
      <c r="M186" s="935">
        <v>0</v>
      </c>
      <c r="N186" s="935">
        <v>0</v>
      </c>
      <c r="O186" s="935">
        <v>0</v>
      </c>
      <c r="P186" s="935">
        <v>0</v>
      </c>
      <c r="Q186" s="935">
        <v>0</v>
      </c>
      <c r="R186" s="935">
        <f t="shared" si="21"/>
        <v>0</v>
      </c>
    </row>
    <row r="187" spans="1:18" hidden="1" x14ac:dyDescent="0.2">
      <c r="B187" s="3" t="s">
        <v>229</v>
      </c>
      <c r="C187" s="935">
        <v>0</v>
      </c>
      <c r="D187" s="935">
        <v>0</v>
      </c>
      <c r="E187" s="935">
        <v>0</v>
      </c>
      <c r="F187" s="935">
        <v>0</v>
      </c>
      <c r="G187" s="935">
        <v>0</v>
      </c>
      <c r="H187" s="935">
        <v>0</v>
      </c>
      <c r="I187" s="935">
        <v>0</v>
      </c>
      <c r="J187" s="935">
        <v>0</v>
      </c>
      <c r="K187" s="935">
        <v>0</v>
      </c>
      <c r="L187" s="935">
        <v>0</v>
      </c>
      <c r="M187" s="935">
        <v>0</v>
      </c>
      <c r="N187" s="935">
        <v>0</v>
      </c>
      <c r="O187" s="935">
        <v>0</v>
      </c>
      <c r="P187" s="935">
        <v>0</v>
      </c>
      <c r="Q187" s="935">
        <v>0</v>
      </c>
      <c r="R187" s="935">
        <f t="shared" si="21"/>
        <v>0</v>
      </c>
    </row>
    <row r="188" spans="1:18" hidden="1" x14ac:dyDescent="0.2">
      <c r="B188" s="3" t="s">
        <v>230</v>
      </c>
      <c r="C188" s="935">
        <v>0</v>
      </c>
      <c r="D188" s="935">
        <v>0</v>
      </c>
      <c r="E188" s="935">
        <v>0</v>
      </c>
      <c r="F188" s="935">
        <v>0</v>
      </c>
      <c r="G188" s="935">
        <v>0</v>
      </c>
      <c r="H188" s="935">
        <v>0</v>
      </c>
      <c r="I188" s="935">
        <v>0</v>
      </c>
      <c r="J188" s="935">
        <v>0</v>
      </c>
      <c r="K188" s="935">
        <v>0</v>
      </c>
      <c r="L188" s="935">
        <v>0</v>
      </c>
      <c r="M188" s="935">
        <v>0</v>
      </c>
      <c r="N188" s="935">
        <v>0</v>
      </c>
      <c r="O188" s="935">
        <v>0</v>
      </c>
      <c r="P188" s="935">
        <v>0</v>
      </c>
      <c r="Q188" s="935">
        <v>0</v>
      </c>
      <c r="R188" s="935">
        <f t="shared" si="21"/>
        <v>0</v>
      </c>
    </row>
    <row r="189" spans="1:18" hidden="1" x14ac:dyDescent="0.2">
      <c r="B189" s="3" t="s">
        <v>231</v>
      </c>
      <c r="C189" s="935">
        <v>0</v>
      </c>
      <c r="D189" s="935">
        <v>0</v>
      </c>
      <c r="E189" s="935">
        <v>0</v>
      </c>
      <c r="F189" s="935">
        <v>0</v>
      </c>
      <c r="G189" s="935">
        <v>0</v>
      </c>
      <c r="H189" s="935">
        <v>0</v>
      </c>
      <c r="I189" s="935">
        <v>0</v>
      </c>
      <c r="J189" s="935">
        <v>0</v>
      </c>
      <c r="K189" s="935">
        <v>0</v>
      </c>
      <c r="L189" s="935">
        <v>0</v>
      </c>
      <c r="M189" s="935">
        <v>0</v>
      </c>
      <c r="N189" s="935">
        <v>0</v>
      </c>
      <c r="O189" s="935">
        <v>0</v>
      </c>
      <c r="P189" s="935">
        <v>0</v>
      </c>
      <c r="Q189" s="935">
        <v>0</v>
      </c>
      <c r="R189" s="935">
        <f t="shared" si="21"/>
        <v>0</v>
      </c>
    </row>
    <row r="190" spans="1:18" hidden="1" x14ac:dyDescent="0.2">
      <c r="B190" s="3" t="s">
        <v>232</v>
      </c>
      <c r="C190" s="935">
        <v>0</v>
      </c>
      <c r="D190" s="935">
        <v>0</v>
      </c>
      <c r="E190" s="935">
        <v>0</v>
      </c>
      <c r="F190" s="935">
        <v>0</v>
      </c>
      <c r="G190" s="935">
        <v>0</v>
      </c>
      <c r="H190" s="935">
        <v>0</v>
      </c>
      <c r="I190" s="935">
        <v>0</v>
      </c>
      <c r="J190" s="935">
        <v>0</v>
      </c>
      <c r="K190" s="935">
        <v>0</v>
      </c>
      <c r="L190" s="935">
        <v>0</v>
      </c>
      <c r="M190" s="935">
        <v>0</v>
      </c>
      <c r="N190" s="935">
        <v>0</v>
      </c>
      <c r="O190" s="935">
        <v>0</v>
      </c>
      <c r="P190" s="935">
        <v>0</v>
      </c>
      <c r="Q190" s="935">
        <v>0</v>
      </c>
      <c r="R190" s="935">
        <f t="shared" si="21"/>
        <v>0</v>
      </c>
    </row>
    <row r="191" spans="1:18" hidden="1" x14ac:dyDescent="0.2">
      <c r="B191" s="3" t="s">
        <v>233</v>
      </c>
      <c r="C191" s="935">
        <v>0</v>
      </c>
      <c r="D191" s="935">
        <v>0</v>
      </c>
      <c r="E191" s="935">
        <v>0</v>
      </c>
      <c r="F191" s="935">
        <v>0</v>
      </c>
      <c r="G191" s="935">
        <v>0</v>
      </c>
      <c r="H191" s="935">
        <v>0</v>
      </c>
      <c r="I191" s="935">
        <v>0</v>
      </c>
      <c r="J191" s="935">
        <v>0</v>
      </c>
      <c r="K191" s="935">
        <v>0</v>
      </c>
      <c r="L191" s="935">
        <v>0</v>
      </c>
      <c r="M191" s="935">
        <v>0</v>
      </c>
      <c r="N191" s="935">
        <v>0</v>
      </c>
      <c r="O191" s="935">
        <v>0</v>
      </c>
      <c r="P191" s="935">
        <v>0</v>
      </c>
      <c r="Q191" s="935">
        <v>0</v>
      </c>
      <c r="R191" s="935">
        <f t="shared" si="21"/>
        <v>0</v>
      </c>
    </row>
    <row r="192" spans="1:18" hidden="1" x14ac:dyDescent="0.2">
      <c r="B192" s="3" t="s">
        <v>234</v>
      </c>
      <c r="C192" s="935">
        <v>0</v>
      </c>
      <c r="D192" s="935">
        <v>0</v>
      </c>
      <c r="E192" s="935">
        <v>0</v>
      </c>
      <c r="F192" s="935">
        <v>0</v>
      </c>
      <c r="G192" s="935">
        <v>0</v>
      </c>
      <c r="H192" s="935">
        <v>0</v>
      </c>
      <c r="I192" s="935">
        <v>0</v>
      </c>
      <c r="J192" s="935">
        <v>0</v>
      </c>
      <c r="K192" s="935">
        <v>0</v>
      </c>
      <c r="L192" s="935">
        <v>0</v>
      </c>
      <c r="M192" s="935">
        <v>0</v>
      </c>
      <c r="N192" s="935">
        <v>0</v>
      </c>
      <c r="O192" s="935">
        <v>0</v>
      </c>
      <c r="P192" s="935">
        <v>0</v>
      </c>
      <c r="Q192" s="935">
        <v>0</v>
      </c>
      <c r="R192" s="935">
        <f t="shared" si="21"/>
        <v>0</v>
      </c>
    </row>
    <row r="193" spans="2:18" x14ac:dyDescent="0.2">
      <c r="B193" s="3" t="s">
        <v>9</v>
      </c>
      <c r="C193" s="935">
        <v>0</v>
      </c>
      <c r="D193" s="935">
        <v>0</v>
      </c>
      <c r="E193" s="935">
        <v>0</v>
      </c>
      <c r="F193" s="935">
        <v>0</v>
      </c>
      <c r="G193" s="935">
        <v>0</v>
      </c>
      <c r="H193" s="935">
        <v>0</v>
      </c>
      <c r="I193" s="935">
        <v>0</v>
      </c>
      <c r="J193" s="935">
        <v>0</v>
      </c>
      <c r="K193" s="935">
        <v>0</v>
      </c>
      <c r="L193" s="935">
        <v>0</v>
      </c>
      <c r="M193" s="935">
        <v>0</v>
      </c>
      <c r="N193" s="935">
        <v>0</v>
      </c>
      <c r="O193" s="935">
        <v>0</v>
      </c>
      <c r="P193" s="935">
        <v>0</v>
      </c>
      <c r="Q193" s="935">
        <v>-330000</v>
      </c>
      <c r="R193" s="935">
        <f t="shared" si="21"/>
        <v>-330000</v>
      </c>
    </row>
    <row r="194" spans="2:18" hidden="1" x14ac:dyDescent="0.2">
      <c r="B194" s="3" t="s">
        <v>581</v>
      </c>
      <c r="C194" s="935">
        <v>0</v>
      </c>
      <c r="D194" s="935">
        <v>0</v>
      </c>
      <c r="E194" s="935">
        <v>0</v>
      </c>
      <c r="F194" s="935">
        <v>0</v>
      </c>
      <c r="G194" s="935">
        <v>0</v>
      </c>
      <c r="H194" s="935">
        <v>0</v>
      </c>
      <c r="I194" s="935">
        <v>0</v>
      </c>
      <c r="J194" s="935">
        <v>0</v>
      </c>
      <c r="K194" s="935">
        <v>0</v>
      </c>
      <c r="L194" s="935">
        <v>0</v>
      </c>
      <c r="M194" s="935">
        <v>0</v>
      </c>
      <c r="N194" s="935">
        <v>0</v>
      </c>
      <c r="O194" s="935">
        <v>0</v>
      </c>
      <c r="P194" s="935">
        <v>0</v>
      </c>
      <c r="Q194" s="935">
        <v>0</v>
      </c>
      <c r="R194" s="935">
        <f t="shared" si="21"/>
        <v>0</v>
      </c>
    </row>
    <row r="195" spans="2:18" hidden="1" x14ac:dyDescent="0.2">
      <c r="B195" s="3" t="s">
        <v>235</v>
      </c>
      <c r="C195" s="935">
        <v>0</v>
      </c>
      <c r="D195" s="935">
        <v>0</v>
      </c>
      <c r="E195" s="935">
        <v>0</v>
      </c>
      <c r="F195" s="935">
        <v>0</v>
      </c>
      <c r="G195" s="935">
        <v>0</v>
      </c>
      <c r="H195" s="935">
        <v>0</v>
      </c>
      <c r="I195" s="935">
        <v>0</v>
      </c>
      <c r="J195" s="935">
        <v>0</v>
      </c>
      <c r="K195" s="935">
        <v>0</v>
      </c>
      <c r="L195" s="935">
        <v>0</v>
      </c>
      <c r="M195" s="935">
        <v>0</v>
      </c>
      <c r="N195" s="935">
        <v>0</v>
      </c>
      <c r="O195" s="935">
        <v>0</v>
      </c>
      <c r="P195" s="935">
        <v>0</v>
      </c>
      <c r="Q195" s="935">
        <v>0</v>
      </c>
      <c r="R195" s="935">
        <f t="shared" si="21"/>
        <v>0</v>
      </c>
    </row>
    <row r="196" spans="2:18" hidden="1" x14ac:dyDescent="0.2">
      <c r="B196" s="3" t="s">
        <v>236</v>
      </c>
      <c r="C196" s="935">
        <v>0</v>
      </c>
      <c r="D196" s="935">
        <v>0</v>
      </c>
      <c r="E196" s="935">
        <v>0</v>
      </c>
      <c r="F196" s="935">
        <v>0</v>
      </c>
      <c r="G196" s="935">
        <v>0</v>
      </c>
      <c r="H196" s="935">
        <v>0</v>
      </c>
      <c r="I196" s="935">
        <v>0</v>
      </c>
      <c r="J196" s="935">
        <v>0</v>
      </c>
      <c r="K196" s="935">
        <v>0</v>
      </c>
      <c r="L196" s="935">
        <v>0</v>
      </c>
      <c r="M196" s="935">
        <v>0</v>
      </c>
      <c r="N196" s="935">
        <v>0</v>
      </c>
      <c r="O196" s="935">
        <v>0</v>
      </c>
      <c r="P196" s="935">
        <v>0</v>
      </c>
      <c r="Q196" s="935">
        <v>0</v>
      </c>
      <c r="R196" s="935">
        <f t="shared" ref="R196:R221" si="22">SUM(C196:Q196)</f>
        <v>0</v>
      </c>
    </row>
    <row r="197" spans="2:18" hidden="1" x14ac:dyDescent="0.2">
      <c r="B197" s="3" t="s">
        <v>237</v>
      </c>
      <c r="C197" s="935">
        <v>0</v>
      </c>
      <c r="D197" s="935">
        <v>0</v>
      </c>
      <c r="E197" s="935">
        <v>0</v>
      </c>
      <c r="F197" s="935">
        <v>0</v>
      </c>
      <c r="G197" s="935">
        <v>0</v>
      </c>
      <c r="H197" s="935">
        <v>0</v>
      </c>
      <c r="I197" s="935">
        <v>0</v>
      </c>
      <c r="J197" s="935">
        <v>0</v>
      </c>
      <c r="K197" s="935">
        <v>0</v>
      </c>
      <c r="L197" s="935">
        <v>0</v>
      </c>
      <c r="M197" s="935">
        <v>0</v>
      </c>
      <c r="N197" s="935">
        <v>0</v>
      </c>
      <c r="O197" s="935">
        <v>0</v>
      </c>
      <c r="P197" s="935">
        <v>0</v>
      </c>
      <c r="Q197" s="935">
        <v>0</v>
      </c>
      <c r="R197" s="935">
        <f t="shared" si="22"/>
        <v>0</v>
      </c>
    </row>
    <row r="198" spans="2:18" hidden="1" x14ac:dyDescent="0.2">
      <c r="B198" s="3" t="s">
        <v>238</v>
      </c>
      <c r="C198" s="935">
        <v>0</v>
      </c>
      <c r="D198" s="935">
        <v>0</v>
      </c>
      <c r="E198" s="935">
        <v>0</v>
      </c>
      <c r="F198" s="935">
        <v>0</v>
      </c>
      <c r="G198" s="935">
        <v>0</v>
      </c>
      <c r="H198" s="935">
        <v>0</v>
      </c>
      <c r="I198" s="935">
        <v>0</v>
      </c>
      <c r="J198" s="935">
        <v>0</v>
      </c>
      <c r="K198" s="935">
        <v>0</v>
      </c>
      <c r="L198" s="935">
        <v>0</v>
      </c>
      <c r="M198" s="935">
        <v>0</v>
      </c>
      <c r="N198" s="935">
        <v>0</v>
      </c>
      <c r="O198" s="935">
        <v>0</v>
      </c>
      <c r="P198" s="935">
        <v>0</v>
      </c>
      <c r="Q198" s="935">
        <v>0</v>
      </c>
      <c r="R198" s="935">
        <f t="shared" si="22"/>
        <v>0</v>
      </c>
    </row>
    <row r="199" spans="2:18" hidden="1" x14ac:dyDescent="0.2">
      <c r="B199" s="3" t="s">
        <v>239</v>
      </c>
      <c r="C199" s="935">
        <v>0</v>
      </c>
      <c r="D199" s="935">
        <v>0</v>
      </c>
      <c r="E199" s="935">
        <v>0</v>
      </c>
      <c r="F199" s="935">
        <v>0</v>
      </c>
      <c r="G199" s="935">
        <v>0</v>
      </c>
      <c r="H199" s="935">
        <v>0</v>
      </c>
      <c r="I199" s="935">
        <v>0</v>
      </c>
      <c r="J199" s="935">
        <v>0</v>
      </c>
      <c r="K199" s="935">
        <v>0</v>
      </c>
      <c r="L199" s="935">
        <v>0</v>
      </c>
      <c r="M199" s="935">
        <v>0</v>
      </c>
      <c r="N199" s="935">
        <v>0</v>
      </c>
      <c r="O199" s="935">
        <v>0</v>
      </c>
      <c r="P199" s="935">
        <v>0</v>
      </c>
      <c r="Q199" s="935">
        <v>0</v>
      </c>
      <c r="R199" s="935">
        <f t="shared" si="22"/>
        <v>0</v>
      </c>
    </row>
    <row r="200" spans="2:18" hidden="1" x14ac:dyDescent="0.2">
      <c r="B200" s="3" t="s">
        <v>240</v>
      </c>
      <c r="C200" s="935">
        <v>0</v>
      </c>
      <c r="D200" s="935">
        <v>0</v>
      </c>
      <c r="E200" s="935">
        <v>0</v>
      </c>
      <c r="F200" s="935">
        <v>0</v>
      </c>
      <c r="G200" s="935">
        <v>0</v>
      </c>
      <c r="H200" s="935">
        <v>0</v>
      </c>
      <c r="I200" s="935">
        <v>0</v>
      </c>
      <c r="J200" s="935">
        <v>0</v>
      </c>
      <c r="K200" s="935">
        <v>0</v>
      </c>
      <c r="L200" s="935">
        <v>0</v>
      </c>
      <c r="M200" s="935">
        <v>0</v>
      </c>
      <c r="N200" s="935">
        <v>0</v>
      </c>
      <c r="O200" s="935">
        <v>0</v>
      </c>
      <c r="P200" s="935">
        <v>0</v>
      </c>
      <c r="Q200" s="935">
        <v>0</v>
      </c>
      <c r="R200" s="935">
        <f t="shared" si="22"/>
        <v>0</v>
      </c>
    </row>
    <row r="201" spans="2:18" hidden="1" x14ac:dyDescent="0.2">
      <c r="B201" s="3" t="s">
        <v>241</v>
      </c>
      <c r="C201" s="935">
        <v>0</v>
      </c>
      <c r="D201" s="935">
        <v>0</v>
      </c>
      <c r="E201" s="935">
        <v>0</v>
      </c>
      <c r="F201" s="935">
        <v>0</v>
      </c>
      <c r="G201" s="935">
        <v>0</v>
      </c>
      <c r="H201" s="935">
        <v>0</v>
      </c>
      <c r="I201" s="935">
        <v>0</v>
      </c>
      <c r="J201" s="935">
        <v>0</v>
      </c>
      <c r="K201" s="935">
        <v>0</v>
      </c>
      <c r="L201" s="935">
        <v>0</v>
      </c>
      <c r="M201" s="935">
        <v>0</v>
      </c>
      <c r="N201" s="935">
        <v>0</v>
      </c>
      <c r="O201" s="935">
        <v>0</v>
      </c>
      <c r="P201" s="935">
        <v>0</v>
      </c>
      <c r="Q201" s="935">
        <v>0</v>
      </c>
      <c r="R201" s="935">
        <f t="shared" si="22"/>
        <v>0</v>
      </c>
    </row>
    <row r="202" spans="2:18" hidden="1" x14ac:dyDescent="0.2">
      <c r="B202" s="3" t="s">
        <v>242</v>
      </c>
      <c r="C202" s="935">
        <v>0</v>
      </c>
      <c r="D202" s="935">
        <v>0</v>
      </c>
      <c r="E202" s="935">
        <v>0</v>
      </c>
      <c r="F202" s="935">
        <v>0</v>
      </c>
      <c r="G202" s="935">
        <v>0</v>
      </c>
      <c r="H202" s="935">
        <v>0</v>
      </c>
      <c r="I202" s="935">
        <v>0</v>
      </c>
      <c r="J202" s="935">
        <v>0</v>
      </c>
      <c r="K202" s="935">
        <v>0</v>
      </c>
      <c r="L202" s="935">
        <v>0</v>
      </c>
      <c r="M202" s="935">
        <v>0</v>
      </c>
      <c r="N202" s="935">
        <v>0</v>
      </c>
      <c r="O202" s="935">
        <v>0</v>
      </c>
      <c r="P202" s="935">
        <v>0</v>
      </c>
      <c r="Q202" s="935">
        <v>0</v>
      </c>
      <c r="R202" s="935">
        <f t="shared" si="22"/>
        <v>0</v>
      </c>
    </row>
    <row r="203" spans="2:18" hidden="1" x14ac:dyDescent="0.2">
      <c r="B203" s="3" t="s">
        <v>243</v>
      </c>
      <c r="C203" s="935">
        <v>0</v>
      </c>
      <c r="D203" s="935">
        <v>0</v>
      </c>
      <c r="E203" s="935">
        <v>0</v>
      </c>
      <c r="F203" s="935">
        <v>0</v>
      </c>
      <c r="G203" s="935">
        <v>0</v>
      </c>
      <c r="H203" s="935">
        <v>0</v>
      </c>
      <c r="I203" s="935">
        <v>0</v>
      </c>
      <c r="J203" s="935">
        <v>0</v>
      </c>
      <c r="K203" s="935">
        <v>0</v>
      </c>
      <c r="L203" s="935">
        <v>0</v>
      </c>
      <c r="M203" s="935">
        <v>0</v>
      </c>
      <c r="N203" s="935">
        <v>0</v>
      </c>
      <c r="O203" s="935">
        <v>0</v>
      </c>
      <c r="P203" s="935">
        <v>0</v>
      </c>
      <c r="Q203" s="935">
        <v>0</v>
      </c>
      <c r="R203" s="935">
        <f t="shared" si="22"/>
        <v>0</v>
      </c>
    </row>
    <row r="204" spans="2:18" hidden="1" x14ac:dyDescent="0.2">
      <c r="B204" s="3" t="s">
        <v>244</v>
      </c>
      <c r="C204" s="935">
        <v>0</v>
      </c>
      <c r="D204" s="935">
        <v>0</v>
      </c>
      <c r="E204" s="935">
        <v>0</v>
      </c>
      <c r="F204" s="935">
        <v>0</v>
      </c>
      <c r="G204" s="935">
        <v>0</v>
      </c>
      <c r="H204" s="935">
        <v>0</v>
      </c>
      <c r="I204" s="935">
        <v>0</v>
      </c>
      <c r="J204" s="935">
        <v>0</v>
      </c>
      <c r="K204" s="935">
        <v>0</v>
      </c>
      <c r="L204" s="935">
        <v>0</v>
      </c>
      <c r="M204" s="935">
        <v>0</v>
      </c>
      <c r="N204" s="935">
        <v>0</v>
      </c>
      <c r="O204" s="935">
        <v>0</v>
      </c>
      <c r="P204" s="935">
        <v>0</v>
      </c>
      <c r="Q204" s="935">
        <v>0</v>
      </c>
      <c r="R204" s="935">
        <f t="shared" si="22"/>
        <v>0</v>
      </c>
    </row>
    <row r="205" spans="2:18" hidden="1" x14ac:dyDescent="0.2">
      <c r="B205" s="2" t="s">
        <v>245</v>
      </c>
      <c r="C205" s="935"/>
      <c r="D205" s="935"/>
      <c r="E205" s="935"/>
      <c r="F205" s="935"/>
      <c r="G205" s="935"/>
      <c r="H205" s="935"/>
      <c r="I205" s="935"/>
      <c r="J205" s="935"/>
      <c r="K205" s="935"/>
      <c r="L205" s="935"/>
      <c r="M205" s="935"/>
      <c r="N205" s="935"/>
      <c r="O205" s="935"/>
      <c r="P205" s="935"/>
      <c r="Q205" s="935"/>
      <c r="R205" s="935">
        <f t="shared" si="22"/>
        <v>0</v>
      </c>
    </row>
    <row r="206" spans="2:18" hidden="1" x14ac:dyDescent="0.2">
      <c r="B206" s="3" t="s">
        <v>246</v>
      </c>
      <c r="C206" s="935">
        <v>0</v>
      </c>
      <c r="D206" s="935">
        <v>0</v>
      </c>
      <c r="E206" s="935">
        <v>0</v>
      </c>
      <c r="F206" s="935">
        <v>0</v>
      </c>
      <c r="G206" s="935">
        <v>0</v>
      </c>
      <c r="H206" s="935">
        <v>0</v>
      </c>
      <c r="I206" s="935">
        <v>0</v>
      </c>
      <c r="J206" s="935">
        <v>0</v>
      </c>
      <c r="K206" s="935">
        <v>0</v>
      </c>
      <c r="L206" s="935">
        <v>0</v>
      </c>
      <c r="M206" s="935">
        <v>0</v>
      </c>
      <c r="N206" s="935">
        <v>0</v>
      </c>
      <c r="O206" s="935">
        <v>0</v>
      </c>
      <c r="P206" s="935">
        <v>0</v>
      </c>
      <c r="Q206" s="935">
        <v>0</v>
      </c>
      <c r="R206" s="935">
        <f t="shared" si="22"/>
        <v>0</v>
      </c>
    </row>
    <row r="207" spans="2:18" hidden="1" x14ac:dyDescent="0.2">
      <c r="B207" s="3" t="s">
        <v>247</v>
      </c>
      <c r="C207" s="935">
        <v>0</v>
      </c>
      <c r="D207" s="935">
        <v>0</v>
      </c>
      <c r="E207" s="935">
        <v>0</v>
      </c>
      <c r="F207" s="935">
        <v>0</v>
      </c>
      <c r="G207" s="935">
        <v>0</v>
      </c>
      <c r="H207" s="935">
        <v>0</v>
      </c>
      <c r="I207" s="935">
        <v>0</v>
      </c>
      <c r="J207" s="935">
        <v>0</v>
      </c>
      <c r="K207" s="935">
        <v>0</v>
      </c>
      <c r="L207" s="935">
        <v>0</v>
      </c>
      <c r="M207" s="935">
        <v>0</v>
      </c>
      <c r="N207" s="935">
        <v>0</v>
      </c>
      <c r="O207" s="935">
        <v>0</v>
      </c>
      <c r="P207" s="935">
        <v>0</v>
      </c>
      <c r="Q207" s="935">
        <v>0</v>
      </c>
      <c r="R207" s="935">
        <f t="shared" si="22"/>
        <v>0</v>
      </c>
    </row>
    <row r="208" spans="2:18" hidden="1" x14ac:dyDescent="0.2">
      <c r="B208" s="3" t="s">
        <v>248</v>
      </c>
      <c r="C208" s="935">
        <v>0</v>
      </c>
      <c r="D208" s="935">
        <v>0</v>
      </c>
      <c r="E208" s="935">
        <v>0</v>
      </c>
      <c r="F208" s="935">
        <v>0</v>
      </c>
      <c r="G208" s="935">
        <v>0</v>
      </c>
      <c r="H208" s="935">
        <v>0</v>
      </c>
      <c r="I208" s="935">
        <v>0</v>
      </c>
      <c r="J208" s="935">
        <v>0</v>
      </c>
      <c r="K208" s="935">
        <v>0</v>
      </c>
      <c r="L208" s="935">
        <v>0</v>
      </c>
      <c r="M208" s="935">
        <v>0</v>
      </c>
      <c r="N208" s="935">
        <v>0</v>
      </c>
      <c r="O208" s="935">
        <v>0</v>
      </c>
      <c r="P208" s="935">
        <v>0</v>
      </c>
      <c r="Q208" s="935">
        <v>0</v>
      </c>
      <c r="R208" s="935">
        <f t="shared" si="22"/>
        <v>0</v>
      </c>
    </row>
    <row r="209" spans="2:18" hidden="1" x14ac:dyDescent="0.2">
      <c r="B209" s="3" t="s">
        <v>249</v>
      </c>
      <c r="C209" s="935">
        <v>0</v>
      </c>
      <c r="D209" s="935">
        <v>0</v>
      </c>
      <c r="E209" s="935">
        <v>0</v>
      </c>
      <c r="F209" s="935">
        <v>0</v>
      </c>
      <c r="G209" s="935">
        <v>0</v>
      </c>
      <c r="H209" s="935">
        <v>0</v>
      </c>
      <c r="I209" s="935">
        <v>0</v>
      </c>
      <c r="J209" s="935">
        <v>0</v>
      </c>
      <c r="K209" s="935">
        <v>0</v>
      </c>
      <c r="L209" s="935">
        <v>0</v>
      </c>
      <c r="M209" s="935">
        <v>0</v>
      </c>
      <c r="N209" s="935">
        <v>0</v>
      </c>
      <c r="O209" s="935">
        <v>0</v>
      </c>
      <c r="P209" s="935">
        <v>0</v>
      </c>
      <c r="Q209" s="935">
        <v>0</v>
      </c>
      <c r="R209" s="935">
        <f t="shared" si="22"/>
        <v>0</v>
      </c>
    </row>
    <row r="210" spans="2:18" hidden="1" x14ac:dyDescent="0.2">
      <c r="B210" s="3" t="s">
        <v>250</v>
      </c>
      <c r="C210" s="935">
        <v>0</v>
      </c>
      <c r="D210" s="935">
        <v>0</v>
      </c>
      <c r="E210" s="935">
        <v>0</v>
      </c>
      <c r="F210" s="935">
        <v>0</v>
      </c>
      <c r="G210" s="935">
        <v>0</v>
      </c>
      <c r="H210" s="935">
        <v>0</v>
      </c>
      <c r="I210" s="935">
        <v>0</v>
      </c>
      <c r="J210" s="935">
        <v>0</v>
      </c>
      <c r="K210" s="935">
        <v>0</v>
      </c>
      <c r="L210" s="935">
        <v>0</v>
      </c>
      <c r="M210" s="935">
        <v>0</v>
      </c>
      <c r="N210" s="935">
        <v>0</v>
      </c>
      <c r="O210" s="935">
        <v>0</v>
      </c>
      <c r="P210" s="935">
        <v>0</v>
      </c>
      <c r="Q210" s="935">
        <v>0</v>
      </c>
      <c r="R210" s="935">
        <f t="shared" si="22"/>
        <v>0</v>
      </c>
    </row>
    <row r="211" spans="2:18" hidden="1" x14ac:dyDescent="0.2">
      <c r="B211" s="3" t="s">
        <v>251</v>
      </c>
      <c r="C211" s="935">
        <v>0</v>
      </c>
      <c r="D211" s="935">
        <v>0</v>
      </c>
      <c r="E211" s="935">
        <v>0</v>
      </c>
      <c r="F211" s="935">
        <v>0</v>
      </c>
      <c r="G211" s="935">
        <v>0</v>
      </c>
      <c r="H211" s="935">
        <v>0</v>
      </c>
      <c r="I211" s="935">
        <v>0</v>
      </c>
      <c r="J211" s="935">
        <v>0</v>
      </c>
      <c r="K211" s="935">
        <v>0</v>
      </c>
      <c r="L211" s="935">
        <v>0</v>
      </c>
      <c r="M211" s="935">
        <v>0</v>
      </c>
      <c r="N211" s="935">
        <v>0</v>
      </c>
      <c r="O211" s="935">
        <v>0</v>
      </c>
      <c r="P211" s="935">
        <v>0</v>
      </c>
      <c r="Q211" s="935">
        <v>0</v>
      </c>
      <c r="R211" s="935">
        <f t="shared" si="22"/>
        <v>0</v>
      </c>
    </row>
    <row r="212" spans="2:18" hidden="1" x14ac:dyDescent="0.2">
      <c r="B212" s="3" t="s">
        <v>252</v>
      </c>
      <c r="C212" s="935">
        <v>0</v>
      </c>
      <c r="D212" s="935">
        <v>0</v>
      </c>
      <c r="E212" s="935">
        <v>0</v>
      </c>
      <c r="F212" s="935">
        <v>0</v>
      </c>
      <c r="G212" s="935">
        <v>0</v>
      </c>
      <c r="H212" s="935">
        <v>0</v>
      </c>
      <c r="I212" s="935">
        <v>0</v>
      </c>
      <c r="J212" s="935">
        <v>0</v>
      </c>
      <c r="K212" s="935">
        <v>0</v>
      </c>
      <c r="L212" s="935">
        <v>0</v>
      </c>
      <c r="M212" s="935">
        <v>0</v>
      </c>
      <c r="N212" s="935">
        <v>0</v>
      </c>
      <c r="O212" s="935">
        <v>0</v>
      </c>
      <c r="P212" s="935">
        <v>0</v>
      </c>
      <c r="Q212" s="935">
        <v>0</v>
      </c>
      <c r="R212" s="935">
        <f t="shared" si="22"/>
        <v>0</v>
      </c>
    </row>
    <row r="213" spans="2:18" hidden="1" x14ac:dyDescent="0.2">
      <c r="B213" s="3" t="s">
        <v>253</v>
      </c>
      <c r="C213" s="935">
        <v>0</v>
      </c>
      <c r="D213" s="935">
        <v>0</v>
      </c>
      <c r="E213" s="935">
        <v>0</v>
      </c>
      <c r="F213" s="935">
        <v>0</v>
      </c>
      <c r="G213" s="935">
        <v>0</v>
      </c>
      <c r="H213" s="935">
        <v>0</v>
      </c>
      <c r="I213" s="935">
        <v>0</v>
      </c>
      <c r="J213" s="935">
        <v>0</v>
      </c>
      <c r="K213" s="935">
        <v>0</v>
      </c>
      <c r="L213" s="935">
        <v>0</v>
      </c>
      <c r="M213" s="935">
        <v>0</v>
      </c>
      <c r="N213" s="935">
        <v>0</v>
      </c>
      <c r="O213" s="935">
        <v>0</v>
      </c>
      <c r="P213" s="935">
        <v>0</v>
      </c>
      <c r="Q213" s="935">
        <v>0</v>
      </c>
      <c r="R213" s="935">
        <f t="shared" si="22"/>
        <v>0</v>
      </c>
    </row>
    <row r="214" spans="2:18" hidden="1" x14ac:dyDescent="0.2">
      <c r="B214" s="3" t="s">
        <v>254</v>
      </c>
      <c r="C214" s="935">
        <v>0</v>
      </c>
      <c r="D214" s="935">
        <v>0</v>
      </c>
      <c r="E214" s="935">
        <v>0</v>
      </c>
      <c r="F214" s="935">
        <v>0</v>
      </c>
      <c r="G214" s="935">
        <v>0</v>
      </c>
      <c r="H214" s="935">
        <v>0</v>
      </c>
      <c r="I214" s="935">
        <v>0</v>
      </c>
      <c r="J214" s="935">
        <v>0</v>
      </c>
      <c r="K214" s="935">
        <v>0</v>
      </c>
      <c r="L214" s="935">
        <v>0</v>
      </c>
      <c r="M214" s="935">
        <v>0</v>
      </c>
      <c r="N214" s="935">
        <v>0</v>
      </c>
      <c r="O214" s="935">
        <v>0</v>
      </c>
      <c r="P214" s="935">
        <v>0</v>
      </c>
      <c r="Q214" s="935">
        <v>0</v>
      </c>
      <c r="R214" s="935">
        <f t="shared" si="22"/>
        <v>0</v>
      </c>
    </row>
    <row r="215" spans="2:18" hidden="1" x14ac:dyDescent="0.2">
      <c r="B215" s="3" t="s">
        <v>255</v>
      </c>
      <c r="C215" s="935">
        <v>0</v>
      </c>
      <c r="D215" s="935">
        <v>0</v>
      </c>
      <c r="E215" s="935">
        <v>0</v>
      </c>
      <c r="F215" s="935">
        <v>0</v>
      </c>
      <c r="G215" s="935">
        <v>0</v>
      </c>
      <c r="H215" s="935">
        <v>0</v>
      </c>
      <c r="I215" s="935">
        <v>0</v>
      </c>
      <c r="J215" s="935">
        <v>0</v>
      </c>
      <c r="K215" s="935">
        <v>0</v>
      </c>
      <c r="L215" s="935">
        <v>0</v>
      </c>
      <c r="M215" s="935">
        <v>0</v>
      </c>
      <c r="N215" s="935">
        <v>0</v>
      </c>
      <c r="O215" s="935">
        <v>0</v>
      </c>
      <c r="P215" s="935">
        <v>0</v>
      </c>
      <c r="Q215" s="935">
        <v>0</v>
      </c>
      <c r="R215" s="935">
        <f t="shared" si="22"/>
        <v>0</v>
      </c>
    </row>
    <row r="216" spans="2:18" x14ac:dyDescent="0.2">
      <c r="B216" s="3" t="s">
        <v>256</v>
      </c>
      <c r="C216" s="935">
        <v>0</v>
      </c>
      <c r="D216" s="935">
        <v>0</v>
      </c>
      <c r="E216" s="935">
        <v>0</v>
      </c>
      <c r="F216" s="935">
        <v>0</v>
      </c>
      <c r="G216" s="935">
        <v>0</v>
      </c>
      <c r="H216" s="935">
        <v>0</v>
      </c>
      <c r="I216" s="935">
        <v>0</v>
      </c>
      <c r="J216" s="935">
        <v>0</v>
      </c>
      <c r="K216" s="935">
        <v>0</v>
      </c>
      <c r="L216" s="935">
        <v>0</v>
      </c>
      <c r="M216" s="935">
        <v>0</v>
      </c>
      <c r="N216" s="935">
        <v>0</v>
      </c>
      <c r="O216" s="935">
        <v>0</v>
      </c>
      <c r="P216" s="935">
        <v>30000</v>
      </c>
      <c r="Q216" s="935">
        <v>-30000</v>
      </c>
      <c r="R216" s="935">
        <f t="shared" si="22"/>
        <v>0</v>
      </c>
    </row>
    <row r="217" spans="2:18" hidden="1" x14ac:dyDescent="0.2">
      <c r="B217" s="3" t="s">
        <v>257</v>
      </c>
      <c r="C217" s="935">
        <v>0</v>
      </c>
      <c r="D217" s="935">
        <v>0</v>
      </c>
      <c r="E217" s="935">
        <v>0</v>
      </c>
      <c r="F217" s="935">
        <v>0</v>
      </c>
      <c r="G217" s="935">
        <v>0</v>
      </c>
      <c r="H217" s="935">
        <v>0</v>
      </c>
      <c r="I217" s="935">
        <v>0</v>
      </c>
      <c r="J217" s="935">
        <v>0</v>
      </c>
      <c r="K217" s="935">
        <v>0</v>
      </c>
      <c r="L217" s="935">
        <v>0</v>
      </c>
      <c r="M217" s="935">
        <v>0</v>
      </c>
      <c r="N217" s="935">
        <v>0</v>
      </c>
      <c r="O217" s="935">
        <v>0</v>
      </c>
      <c r="P217" s="935">
        <v>0</v>
      </c>
      <c r="Q217" s="935">
        <v>0</v>
      </c>
      <c r="R217" s="935">
        <f t="shared" si="22"/>
        <v>0</v>
      </c>
    </row>
    <row r="218" spans="2:18" hidden="1" x14ac:dyDescent="0.2">
      <c r="B218" s="3" t="s">
        <v>258</v>
      </c>
      <c r="C218" s="935">
        <v>0</v>
      </c>
      <c r="D218" s="935">
        <v>0</v>
      </c>
      <c r="E218" s="935">
        <v>0</v>
      </c>
      <c r="F218" s="935">
        <v>0</v>
      </c>
      <c r="G218" s="935">
        <v>0</v>
      </c>
      <c r="H218" s="935">
        <v>0</v>
      </c>
      <c r="I218" s="935">
        <v>0</v>
      </c>
      <c r="J218" s="935">
        <v>0</v>
      </c>
      <c r="K218" s="935">
        <v>0</v>
      </c>
      <c r="L218" s="935">
        <v>0</v>
      </c>
      <c r="M218" s="935">
        <v>0</v>
      </c>
      <c r="N218" s="935">
        <v>0</v>
      </c>
      <c r="O218" s="935">
        <v>0</v>
      </c>
      <c r="P218" s="935">
        <v>0</v>
      </c>
      <c r="Q218" s="935">
        <v>0</v>
      </c>
      <c r="R218" s="935">
        <f t="shared" si="22"/>
        <v>0</v>
      </c>
    </row>
    <row r="219" spans="2:18" hidden="1" x14ac:dyDescent="0.2">
      <c r="B219" s="3" t="s">
        <v>259</v>
      </c>
      <c r="C219" s="935">
        <v>0</v>
      </c>
      <c r="D219" s="935">
        <v>0</v>
      </c>
      <c r="E219" s="935">
        <v>0</v>
      </c>
      <c r="F219" s="935">
        <v>0</v>
      </c>
      <c r="G219" s="935">
        <v>0</v>
      </c>
      <c r="H219" s="935">
        <v>0</v>
      </c>
      <c r="I219" s="935">
        <v>0</v>
      </c>
      <c r="J219" s="935">
        <v>0</v>
      </c>
      <c r="K219" s="935">
        <v>0</v>
      </c>
      <c r="L219" s="935">
        <v>0</v>
      </c>
      <c r="M219" s="935">
        <v>0</v>
      </c>
      <c r="N219" s="935">
        <v>0</v>
      </c>
      <c r="O219" s="935">
        <v>0</v>
      </c>
      <c r="P219" s="935">
        <v>0</v>
      </c>
      <c r="Q219" s="935">
        <v>0</v>
      </c>
      <c r="R219" s="935">
        <f t="shared" si="22"/>
        <v>0</v>
      </c>
    </row>
    <row r="220" spans="2:18" hidden="1" x14ac:dyDescent="0.2">
      <c r="B220" s="3" t="s">
        <v>260</v>
      </c>
      <c r="C220" s="935">
        <v>0</v>
      </c>
      <c r="D220" s="935">
        <v>0</v>
      </c>
      <c r="E220" s="935">
        <v>0</v>
      </c>
      <c r="F220" s="935">
        <v>0</v>
      </c>
      <c r="G220" s="935">
        <v>0</v>
      </c>
      <c r="H220" s="935">
        <v>0</v>
      </c>
      <c r="I220" s="935">
        <v>0</v>
      </c>
      <c r="J220" s="935">
        <v>0</v>
      </c>
      <c r="K220" s="935">
        <v>0</v>
      </c>
      <c r="L220" s="935">
        <v>0</v>
      </c>
      <c r="M220" s="935">
        <v>0</v>
      </c>
      <c r="N220" s="935">
        <v>0</v>
      </c>
      <c r="O220" s="935">
        <v>0</v>
      </c>
      <c r="P220" s="935">
        <v>0</v>
      </c>
      <c r="Q220" s="935">
        <v>0</v>
      </c>
      <c r="R220" s="935">
        <f t="shared" si="22"/>
        <v>0</v>
      </c>
    </row>
    <row r="221" spans="2:18" x14ac:dyDescent="0.2">
      <c r="C221" s="935"/>
      <c r="D221" s="935"/>
      <c r="E221" s="935"/>
      <c r="F221" s="935"/>
      <c r="G221" s="935"/>
      <c r="H221" s="935"/>
      <c r="I221" s="935"/>
      <c r="J221" s="935"/>
      <c r="K221" s="935"/>
      <c r="L221" s="935"/>
      <c r="M221" s="935"/>
      <c r="N221" s="935"/>
      <c r="O221" s="935"/>
      <c r="P221" s="935"/>
      <c r="Q221" s="935"/>
      <c r="R221" s="935">
        <f t="shared" si="22"/>
        <v>0</v>
      </c>
    </row>
  </sheetData>
  <pageMargins left="0.7" right="0.7" top="0.75" bottom="0.75" header="0.3" footer="0.3"/>
  <pageSetup scale="44" orientation="portrait" r:id="rId1"/>
  <colBreaks count="1" manualBreakCount="1">
    <brk id="9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E514-9B54-4BD1-A581-79046B783F7E}">
  <sheetPr>
    <tabColor rgb="FFFF0000"/>
  </sheetPr>
  <dimension ref="A1:I85"/>
  <sheetViews>
    <sheetView showGridLines="0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62" customWidth="1"/>
    <col min="2" max="2" width="12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8.7109375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671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672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30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9" x14ac:dyDescent="0.2">
      <c r="A7" s="93" t="s">
        <v>328</v>
      </c>
      <c r="B7" s="94"/>
      <c r="C7" s="95" t="s">
        <v>329</v>
      </c>
      <c r="D7" s="88"/>
      <c r="E7" s="88">
        <v>0</v>
      </c>
      <c r="F7" s="89">
        <v>0</v>
      </c>
      <c r="G7" s="90">
        <v>0</v>
      </c>
      <c r="H7" s="91">
        <v>0</v>
      </c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/>
      <c r="H8" s="91">
        <v>532119</v>
      </c>
      <c r="I8" s="92"/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>
        <v>0</v>
      </c>
      <c r="I9" s="92"/>
    </row>
    <row r="10" spans="1:9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>
        <v>0</v>
      </c>
      <c r="I10" s="92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/>
      <c r="H11" s="91">
        <v>60000</v>
      </c>
      <c r="I11" s="92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0</v>
      </c>
      <c r="G12" s="90"/>
      <c r="H12" s="91">
        <v>0</v>
      </c>
      <c r="I12" s="92"/>
    </row>
    <row r="13" spans="1:9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/>
      <c r="G13" s="90">
        <v>0</v>
      </c>
      <c r="H13" s="91">
        <v>32500</v>
      </c>
      <c r="I13" s="92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>
        <v>0</v>
      </c>
      <c r="I14" s="92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/>
      <c r="H15" s="91">
        <v>105894</v>
      </c>
      <c r="I15" s="92"/>
    </row>
    <row r="16" spans="1:9" hidden="1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0</v>
      </c>
      <c r="G16" s="90">
        <v>0</v>
      </c>
      <c r="H16" s="91">
        <v>0</v>
      </c>
      <c r="I16" s="92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>
        <v>0</v>
      </c>
      <c r="I17" s="92"/>
    </row>
    <row r="18" spans="1:9" hidden="1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0</v>
      </c>
      <c r="G18" s="90">
        <v>0</v>
      </c>
      <c r="H18" s="91">
        <v>0</v>
      </c>
      <c r="I18" s="92"/>
    </row>
    <row r="19" spans="1:9" hidden="1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>
        <v>0</v>
      </c>
      <c r="G19" s="90">
        <v>0</v>
      </c>
      <c r="H19" s="91">
        <v>0</v>
      </c>
      <c r="I19" s="92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323060</v>
      </c>
      <c r="G20" s="90">
        <v>0</v>
      </c>
      <c r="H20" s="91">
        <v>0</v>
      </c>
      <c r="I20" s="92"/>
    </row>
    <row r="21" spans="1:9" hidden="1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>
        <v>0</v>
      </c>
      <c r="G21" s="90">
        <v>0</v>
      </c>
      <c r="H21" s="91">
        <v>0</v>
      </c>
      <c r="I21" s="92"/>
    </row>
    <row r="22" spans="1:9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70000</v>
      </c>
      <c r="G22" s="90">
        <v>0</v>
      </c>
      <c r="H22" s="91">
        <v>0</v>
      </c>
      <c r="I22" s="92"/>
    </row>
    <row r="23" spans="1:9" hidden="1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>
        <v>0</v>
      </c>
      <c r="G23" s="90">
        <v>0</v>
      </c>
      <c r="H23" s="91">
        <v>0</v>
      </c>
      <c r="I23" s="92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>
        <v>0</v>
      </c>
      <c r="I24" s="92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>
        <v>0</v>
      </c>
      <c r="I25" s="92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>
        <v>0</v>
      </c>
      <c r="I26" s="92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>
        <v>0</v>
      </c>
      <c r="I27" s="92"/>
    </row>
    <row r="28" spans="1:9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>
        <v>10000</v>
      </c>
      <c r="G28" s="90">
        <v>0</v>
      </c>
      <c r="H28" s="91">
        <v>0</v>
      </c>
      <c r="I28" s="92"/>
    </row>
    <row r="29" spans="1:9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>
        <v>100</v>
      </c>
      <c r="G29" s="90">
        <v>0</v>
      </c>
      <c r="H29" s="91">
        <v>0</v>
      </c>
      <c r="I29" s="92"/>
    </row>
    <row r="30" spans="1:9" hidden="1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0</v>
      </c>
      <c r="G30" s="90">
        <v>0</v>
      </c>
      <c r="H30" s="91">
        <v>0</v>
      </c>
      <c r="I30" s="92"/>
    </row>
    <row r="31" spans="1:9" hidden="1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0</v>
      </c>
      <c r="G31" s="90">
        <v>0</v>
      </c>
      <c r="H31" s="91">
        <v>0</v>
      </c>
      <c r="I31" s="92"/>
    </row>
    <row r="32" spans="1:9" hidden="1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0</v>
      </c>
      <c r="G32" s="90">
        <v>0</v>
      </c>
      <c r="H32" s="91">
        <v>0</v>
      </c>
      <c r="I32" s="92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403160</v>
      </c>
      <c r="G33" s="104">
        <f>SUM(G6:G32)</f>
        <v>0</v>
      </c>
      <c r="H33" s="106">
        <f>SUM(H6:H32)</f>
        <v>730513</v>
      </c>
      <c r="I33" s="107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112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>
        <v>0</v>
      </c>
      <c r="G35" s="90"/>
      <c r="H35" s="91">
        <v>0</v>
      </c>
      <c r="I35" s="92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9099766.4368917495</v>
      </c>
      <c r="G36" s="90">
        <v>0</v>
      </c>
      <c r="H36" s="91">
        <v>0</v>
      </c>
      <c r="I36" s="12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>
        <v>0</v>
      </c>
      <c r="G37" s="90">
        <v>0</v>
      </c>
      <c r="H37" s="91">
        <v>0</v>
      </c>
      <c r="I37" s="92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1457010.4909624001</v>
      </c>
      <c r="G38" s="90">
        <v>0</v>
      </c>
      <c r="H38" s="91">
        <v>0</v>
      </c>
      <c r="I38" s="12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25461.175856904563</v>
      </c>
      <c r="G39" s="90">
        <v>0</v>
      </c>
      <c r="H39" s="91">
        <v>0</v>
      </c>
      <c r="I39" s="92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165701.4095710812</v>
      </c>
      <c r="G40" s="90">
        <v>0</v>
      </c>
      <c r="H40" s="91">
        <v>0</v>
      </c>
      <c r="I40" s="92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>
        <v>0</v>
      </c>
      <c r="G41" s="90">
        <v>0</v>
      </c>
      <c r="H41" s="91">
        <v>0</v>
      </c>
      <c r="I41" s="92"/>
    </row>
    <row r="42" spans="1:9" s="130" customFormat="1" x14ac:dyDescent="0.2">
      <c r="A42" s="123" t="s">
        <v>377</v>
      </c>
      <c r="B42" s="124"/>
      <c r="C42" s="125" t="s">
        <v>378</v>
      </c>
      <c r="D42" s="88">
        <v>0</v>
      </c>
      <c r="E42" s="88">
        <v>0</v>
      </c>
      <c r="F42" s="305">
        <v>370802</v>
      </c>
      <c r="G42" s="306">
        <v>0</v>
      </c>
      <c r="H42" s="307">
        <v>0</v>
      </c>
      <c r="I42" s="129"/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>
        <v>0</v>
      </c>
      <c r="G43" s="90">
        <v>0</v>
      </c>
      <c r="H43" s="91">
        <v>0</v>
      </c>
      <c r="I43" s="92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555352</v>
      </c>
      <c r="G44" s="90">
        <v>0</v>
      </c>
      <c r="H44" s="91">
        <v>0</v>
      </c>
      <c r="I44" s="92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>
        <v>0</v>
      </c>
      <c r="G45" s="90">
        <v>0</v>
      </c>
      <c r="H45" s="91">
        <v>0</v>
      </c>
      <c r="I45" s="92"/>
    </row>
    <row r="46" spans="1:9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>
        <v>0</v>
      </c>
      <c r="G46" s="90">
        <v>0</v>
      </c>
      <c r="H46" s="91">
        <v>0</v>
      </c>
      <c r="I46" s="92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>
        <v>0</v>
      </c>
      <c r="G47" s="90">
        <v>0</v>
      </c>
      <c r="H47" s="91">
        <v>0</v>
      </c>
      <c r="I47" s="133"/>
    </row>
    <row r="48" spans="1:9" hidden="1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>
        <v>0</v>
      </c>
      <c r="G48" s="90">
        <v>0</v>
      </c>
      <c r="H48" s="91">
        <v>0</v>
      </c>
      <c r="I48" s="92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11674093.513282137</v>
      </c>
      <c r="G49" s="104">
        <f>SUM(G34:G48)</f>
        <v>0</v>
      </c>
      <c r="H49" s="106">
        <f>SUM(H34:H48)</f>
        <v>0</v>
      </c>
      <c r="I49" s="107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112"/>
    </row>
    <row r="51" spans="1:9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80000</v>
      </c>
      <c r="G51" s="143">
        <v>0</v>
      </c>
      <c r="H51" s="111">
        <v>0</v>
      </c>
      <c r="I51" s="92"/>
    </row>
    <row r="52" spans="1:9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>
        <v>700000</v>
      </c>
      <c r="G52" s="143">
        <v>0</v>
      </c>
      <c r="H52" s="111">
        <v>0</v>
      </c>
      <c r="I52" s="92"/>
    </row>
    <row r="53" spans="1:9" hidden="1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>
        <v>0</v>
      </c>
      <c r="G53" s="143">
        <v>0</v>
      </c>
      <c r="H53" s="111">
        <v>0</v>
      </c>
      <c r="I53" s="92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v>142000</v>
      </c>
      <c r="G54" s="143">
        <v>0</v>
      </c>
      <c r="H54" s="111">
        <v>0</v>
      </c>
      <c r="I54" s="92"/>
    </row>
    <row r="55" spans="1:9" hidden="1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>
        <v>0</v>
      </c>
      <c r="G55" s="143">
        <v>0</v>
      </c>
      <c r="H55" s="111">
        <v>0</v>
      </c>
      <c r="I55" s="92"/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>
        <v>0</v>
      </c>
      <c r="G56" s="143">
        <v>0</v>
      </c>
      <c r="H56" s="111">
        <v>0</v>
      </c>
      <c r="I56" s="92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922000</v>
      </c>
      <c r="G57" s="104">
        <f t="shared" si="0"/>
        <v>0</v>
      </c>
      <c r="H57" s="106">
        <f t="shared" si="0"/>
        <v>0</v>
      </c>
      <c r="I57" s="107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112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>
        <v>0</v>
      </c>
      <c r="G59" s="143">
        <v>0</v>
      </c>
      <c r="H59" s="111">
        <v>0</v>
      </c>
      <c r="I59" s="92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>
        <v>0</v>
      </c>
      <c r="G60" s="143">
        <v>0</v>
      </c>
      <c r="H60" s="111">
        <v>0</v>
      </c>
      <c r="I60" s="92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>
        <v>0</v>
      </c>
      <c r="G61" s="143">
        <v>0</v>
      </c>
      <c r="H61" s="111">
        <v>0</v>
      </c>
      <c r="I61" s="92"/>
    </row>
    <row r="62" spans="1:9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0</v>
      </c>
      <c r="G62" s="143">
        <v>0</v>
      </c>
      <c r="H62" s="111">
        <f>'19_20 District Budget Summ-10'!S64</f>
        <v>0</v>
      </c>
      <c r="I62" s="92"/>
    </row>
    <row r="63" spans="1:9" hidden="1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>
        <v>0</v>
      </c>
      <c r="G63" s="143">
        <v>0</v>
      </c>
      <c r="H63" s="111">
        <v>0</v>
      </c>
      <c r="I63" s="92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92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92"/>
    </row>
    <row r="66" spans="1:9" hidden="1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>
        <v>0</v>
      </c>
      <c r="G66" s="143">
        <v>0</v>
      </c>
      <c r="H66" s="111">
        <v>0</v>
      </c>
      <c r="I66" s="92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0</v>
      </c>
      <c r="G67" s="157">
        <f>SUM(G58:G66)</f>
        <v>0</v>
      </c>
      <c r="H67" s="159">
        <f>SUM(H58:H66)</f>
        <v>0</v>
      </c>
      <c r="I67" s="92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92"/>
    </row>
    <row r="69" spans="1:9" hidden="1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0</v>
      </c>
      <c r="G69" s="143">
        <v>0</v>
      </c>
      <c r="H69" s="111">
        <v>0</v>
      </c>
      <c r="I69" s="92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2618483</v>
      </c>
      <c r="G70" s="143">
        <v>0</v>
      </c>
      <c r="H70" s="111">
        <v>0</v>
      </c>
      <c r="I70" s="92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2618483</v>
      </c>
      <c r="G71" s="157">
        <f t="shared" si="1"/>
        <v>0</v>
      </c>
      <c r="H71" s="159">
        <f>SUM(H69:H70)</f>
        <v>0</v>
      </c>
      <c r="I71" s="92"/>
    </row>
    <row r="72" spans="1:9" hidden="1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92"/>
    </row>
    <row r="73" spans="1:9" hidden="1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92"/>
    </row>
    <row r="74" spans="1:9" ht="15.75" thickBot="1" x14ac:dyDescent="0.3">
      <c r="A74" s="169" t="s">
        <v>423</v>
      </c>
      <c r="B74" s="170"/>
      <c r="C74" s="171"/>
      <c r="D74" s="172">
        <f>'PCFP - All Revenue AA-1 R-10'!D33+'PCFP - All Revenue AA-1 R-10'!D49+'PCFP - All Revenue AA-1 R-10'!D57+'PCFP - All Revenue AA-1 R-10'!D71+'PCFP - All Revenue AA-1 R-10'!D67</f>
        <v>0</v>
      </c>
      <c r="E74" s="172">
        <f>'PCFP - All Revenue AA-1 R-10'!E33+'PCFP - All Revenue AA-1 R-10'!E49+'PCFP - All Revenue AA-1 R-10'!E57+'PCFP - All Revenue AA-1 R-10'!E71+'PCFP - All Revenue AA-1 R-10'!E67</f>
        <v>0</v>
      </c>
      <c r="F74" s="173">
        <f>'PCFP - All Revenue AA-1 R-10'!F33+'PCFP - All Revenue AA-1 R-10'!F49+'PCFP - All Revenue AA-1 R-10'!F57+'PCFP - All Revenue AA-1 R-10'!F71+'PCFP - All Revenue AA-1 R-10'!F67</f>
        <v>15617736.513282137</v>
      </c>
      <c r="G74" s="172">
        <f>'PCFP - All Revenue AA-1 R-10'!G33+'PCFP - All Revenue AA-1 R-10'!G49+'PCFP - All Revenue AA-1 R-10'!G57+'PCFP - All Revenue AA-1 R-10'!G71+'PCFP - All Revenue AA-1 R-10'!G67</f>
        <v>0</v>
      </c>
      <c r="H74" s="174">
        <f>'PCFP - All Revenue AA-1 R-10'!H33+'PCFP - All Revenue AA-1 R-10'!H49+'PCFP - All Revenue AA-1 R-10'!H57+'PCFP - All Revenue AA-1 R-10'!H71+'PCFP - All Revenue AA-1 R-10'!H67</f>
        <v>730513</v>
      </c>
      <c r="I74" s="92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44"/>
      <c r="G75" s="143"/>
      <c r="H75" s="111">
        <v>0</v>
      </c>
      <c r="I75" s="92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44"/>
      <c r="G76" s="143"/>
      <c r="H76" s="111">
        <v>0</v>
      </c>
      <c r="I76" s="92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44"/>
      <c r="G77" s="143"/>
      <c r="H77" s="111">
        <v>0</v>
      </c>
      <c r="I77" s="92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92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7">
        <f t="shared" si="2"/>
        <v>0</v>
      </c>
      <c r="G79" s="187">
        <f t="shared" si="2"/>
        <v>0</v>
      </c>
      <c r="H79" s="187">
        <f>SUM(H75:H78)</f>
        <v>0</v>
      </c>
    </row>
    <row r="80" spans="1:9" x14ac:dyDescent="0.2">
      <c r="A80" s="189"/>
      <c r="B80" s="189"/>
      <c r="C80" s="190"/>
      <c r="D80" s="190"/>
      <c r="E80" s="190"/>
      <c r="F80" s="190"/>
      <c r="G80" s="190"/>
      <c r="H80" s="208">
        <f>SUM(H74)+F74</f>
        <v>16348249.513282137</v>
      </c>
    </row>
    <row r="81" spans="1:8" x14ac:dyDescent="0.2">
      <c r="A81" s="94"/>
      <c r="B81" s="94"/>
      <c r="C81" s="191" t="str">
        <f>C1</f>
        <v>Lincoln County School District</v>
      </c>
      <c r="D81" s="190" t="s">
        <v>428</v>
      </c>
      <c r="E81" s="190"/>
      <c r="F81" s="190"/>
      <c r="G81" s="192" t="str">
        <f>"Budget Fiscal Year "&amp;TEXT('[10]Form 1'!$C$136, "mm/dd/yy")</f>
        <v>Budget Fiscal Year 2019-2020</v>
      </c>
      <c r="H81" s="190"/>
    </row>
    <row r="82" spans="1:8" x14ac:dyDescent="0.2">
      <c r="A82" s="98"/>
      <c r="B82" s="98"/>
      <c r="C82" s="193" t="s">
        <v>429</v>
      </c>
      <c r="D82" s="189" t="s">
        <v>430</v>
      </c>
      <c r="E82" s="190"/>
      <c r="F82" s="194"/>
      <c r="G82" s="192" t="s">
        <v>431</v>
      </c>
      <c r="H82" s="190"/>
    </row>
    <row r="83" spans="1:8" x14ac:dyDescent="0.2">
      <c r="A83" s="189"/>
      <c r="B83" s="189"/>
      <c r="C83" s="190"/>
      <c r="D83" s="190"/>
      <c r="E83" s="190"/>
      <c r="F83" s="195"/>
      <c r="G83" s="196"/>
      <c r="H83" s="197"/>
    </row>
    <row r="84" spans="1:8" x14ac:dyDescent="0.2">
      <c r="A84" s="189"/>
      <c r="B84" s="189"/>
      <c r="C84" s="190"/>
      <c r="D84" s="190"/>
      <c r="E84" s="190"/>
      <c r="H84" s="192"/>
    </row>
    <row r="85" spans="1:8" x14ac:dyDescent="0.2">
      <c r="A85" s="189"/>
      <c r="B85" s="189"/>
      <c r="C85" s="190"/>
      <c r="D85" s="190"/>
      <c r="E85" s="190"/>
      <c r="H85" s="192"/>
    </row>
  </sheetData>
  <pageMargins left="0.2" right="0.2" top="0.25" bottom="0.25" header="0.05" footer="0.05"/>
  <pageSetup paperSize="5" scale="67" fitToHeight="2" orientation="landscape" r:id="rId1"/>
  <rowBreaks count="1" manualBreakCount="1">
    <brk id="82" max="8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C06FA-49F1-4818-825F-A1D412D4EB02}">
  <sheetPr>
    <tabColor rgb="FFFFFF00"/>
    <pageSetUpPr fitToPage="1"/>
  </sheetPr>
  <dimension ref="A1:L151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10.8554687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3275382</v>
      </c>
      <c r="D3" s="89">
        <v>1509567</v>
      </c>
      <c r="E3" s="89">
        <v>173181</v>
      </c>
      <c r="F3" s="89">
        <v>0</v>
      </c>
      <c r="G3" s="89">
        <v>0</v>
      </c>
      <c r="H3" s="89">
        <v>0</v>
      </c>
      <c r="I3" s="214">
        <v>0</v>
      </c>
      <c r="J3" s="89">
        <f>SUM(C3:I3)</f>
        <v>4958130</v>
      </c>
      <c r="K3" s="92"/>
    </row>
    <row r="4" spans="1:11" hidden="1" x14ac:dyDescent="0.2">
      <c r="A4" s="116">
        <v>200</v>
      </c>
      <c r="B4" s="95" t="s">
        <v>135</v>
      </c>
      <c r="C4" s="89"/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214">
        <v>0</v>
      </c>
      <c r="J4" s="89">
        <f t="shared" ref="J4:J67" si="0">SUM(C4:I4)</f>
        <v>0</v>
      </c>
      <c r="K4" s="92"/>
    </row>
    <row r="5" spans="1:11" x14ac:dyDescent="0.2">
      <c r="A5" s="210" t="s">
        <v>10</v>
      </c>
      <c r="B5" s="211" t="s">
        <v>136</v>
      </c>
      <c r="C5" s="536">
        <v>769050</v>
      </c>
      <c r="D5" s="536">
        <v>407000</v>
      </c>
      <c r="E5" s="536">
        <v>108000</v>
      </c>
      <c r="F5" s="536">
        <v>0</v>
      </c>
      <c r="G5" s="536">
        <v>0</v>
      </c>
      <c r="H5" s="536">
        <v>334149</v>
      </c>
      <c r="I5" s="214">
        <v>0</v>
      </c>
      <c r="J5" s="89">
        <f t="shared" si="0"/>
        <v>1618199</v>
      </c>
      <c r="K5" s="212"/>
    </row>
    <row r="6" spans="1:11" hidden="1" x14ac:dyDescent="0.2">
      <c r="A6" s="116">
        <v>270</v>
      </c>
      <c r="B6" s="95" t="s">
        <v>137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214">
        <v>0</v>
      </c>
      <c r="J6" s="89">
        <f t="shared" si="0"/>
        <v>0</v>
      </c>
      <c r="K6" s="92"/>
    </row>
    <row r="7" spans="1:11" hidden="1" x14ac:dyDescent="0.2">
      <c r="A7" s="210" t="s">
        <v>10</v>
      </c>
      <c r="B7" s="211" t="s">
        <v>138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214">
        <v>0</v>
      </c>
      <c r="J7" s="89">
        <f t="shared" si="0"/>
        <v>0</v>
      </c>
      <c r="K7" s="212"/>
    </row>
    <row r="8" spans="1:11" x14ac:dyDescent="0.2">
      <c r="A8" s="116">
        <v>300</v>
      </c>
      <c r="B8" s="95" t="s">
        <v>139</v>
      </c>
      <c r="C8" s="89">
        <v>523900</v>
      </c>
      <c r="D8" s="89">
        <v>236500</v>
      </c>
      <c r="E8" s="89">
        <v>30689</v>
      </c>
      <c r="F8" s="89">
        <v>0</v>
      </c>
      <c r="G8" s="89">
        <v>0</v>
      </c>
      <c r="H8" s="89">
        <v>0</v>
      </c>
      <c r="I8" s="214">
        <v>0</v>
      </c>
      <c r="J8" s="89">
        <f t="shared" si="0"/>
        <v>791089</v>
      </c>
      <c r="K8" s="92"/>
    </row>
    <row r="9" spans="1:11" hidden="1" x14ac:dyDescent="0.2">
      <c r="A9" s="116">
        <v>400</v>
      </c>
      <c r="B9" s="95" t="s">
        <v>140</v>
      </c>
      <c r="C9" s="89"/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214">
        <v>0</v>
      </c>
      <c r="J9" s="89">
        <f t="shared" si="0"/>
        <v>0</v>
      </c>
      <c r="K9" s="92"/>
    </row>
    <row r="10" spans="1:11" hidden="1" x14ac:dyDescent="0.2">
      <c r="A10" s="210" t="s">
        <v>10</v>
      </c>
      <c r="B10" s="211" t="s">
        <v>141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214">
        <v>0</v>
      </c>
      <c r="J10" s="89">
        <f t="shared" si="0"/>
        <v>0</v>
      </c>
      <c r="K10" s="212"/>
    </row>
    <row r="11" spans="1:11" hidden="1" x14ac:dyDescent="0.2">
      <c r="A11" s="210" t="s">
        <v>10</v>
      </c>
      <c r="B11" s="211" t="s">
        <v>142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214">
        <v>0</v>
      </c>
      <c r="J11" s="89">
        <f t="shared" si="0"/>
        <v>0</v>
      </c>
      <c r="K11" s="212"/>
    </row>
    <row r="12" spans="1:11" hidden="1" x14ac:dyDescent="0.2">
      <c r="A12" s="116">
        <v>440</v>
      </c>
      <c r="B12" s="95" t="s">
        <v>143</v>
      </c>
      <c r="C12" s="89"/>
      <c r="D12" s="89"/>
      <c r="E12" s="89"/>
      <c r="F12" s="89">
        <v>0</v>
      </c>
      <c r="G12" s="89">
        <v>0</v>
      </c>
      <c r="H12" s="89">
        <v>0</v>
      </c>
      <c r="I12" s="214">
        <v>0</v>
      </c>
      <c r="J12" s="89">
        <f t="shared" si="0"/>
        <v>0</v>
      </c>
      <c r="K12" s="92"/>
    </row>
    <row r="13" spans="1:11" hidden="1" x14ac:dyDescent="0.2">
      <c r="A13" s="116">
        <v>500</v>
      </c>
      <c r="B13" s="95" t="s">
        <v>144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214">
        <v>0</v>
      </c>
      <c r="J13" s="89">
        <f t="shared" si="0"/>
        <v>0</v>
      </c>
      <c r="K13" s="92"/>
    </row>
    <row r="14" spans="1:11" hidden="1" x14ac:dyDescent="0.2">
      <c r="A14" s="116">
        <v>600</v>
      </c>
      <c r="B14" s="95" t="s">
        <v>145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214">
        <v>0</v>
      </c>
      <c r="J14" s="89">
        <f t="shared" si="0"/>
        <v>0</v>
      </c>
      <c r="K14" s="92"/>
    </row>
    <row r="15" spans="1:11" hidden="1" x14ac:dyDescent="0.2">
      <c r="A15" s="116">
        <v>800</v>
      </c>
      <c r="B15" s="95" t="s">
        <v>146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214">
        <v>0</v>
      </c>
      <c r="J15" s="89">
        <f t="shared" si="0"/>
        <v>0</v>
      </c>
      <c r="K15" s="92"/>
    </row>
    <row r="16" spans="1:11" hidden="1" x14ac:dyDescent="0.2">
      <c r="A16" s="116">
        <v>910</v>
      </c>
      <c r="B16" s="95" t="s">
        <v>147</v>
      </c>
      <c r="C16" s="89">
        <v>0</v>
      </c>
      <c r="D16" s="89">
        <v>0</v>
      </c>
      <c r="E16" s="89"/>
      <c r="F16" s="89">
        <v>0</v>
      </c>
      <c r="G16" s="89">
        <v>0</v>
      </c>
      <c r="H16" s="89">
        <v>0</v>
      </c>
      <c r="I16" s="214">
        <v>0</v>
      </c>
      <c r="J16" s="89">
        <f t="shared" si="0"/>
        <v>0</v>
      </c>
      <c r="K16" s="92"/>
    </row>
    <row r="17" spans="1:11" x14ac:dyDescent="0.2">
      <c r="A17" s="116">
        <v>920</v>
      </c>
      <c r="B17" s="95" t="s">
        <v>148</v>
      </c>
      <c r="C17" s="89">
        <v>80000</v>
      </c>
      <c r="D17" s="89">
        <v>13000</v>
      </c>
      <c r="E17" s="89">
        <v>143803</v>
      </c>
      <c r="F17" s="89">
        <v>0</v>
      </c>
      <c r="G17" s="89">
        <v>0</v>
      </c>
      <c r="H17" s="89">
        <v>0</v>
      </c>
      <c r="I17" s="214">
        <v>0</v>
      </c>
      <c r="J17" s="89">
        <f t="shared" si="0"/>
        <v>236803</v>
      </c>
      <c r="K17" s="92"/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hidden="1" x14ac:dyDescent="0.25">
      <c r="A20" s="215" t="s">
        <v>443</v>
      </c>
      <c r="B20" s="216" t="s">
        <v>444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0</v>
      </c>
      <c r="K20" s="92"/>
    </row>
    <row r="21" spans="1:11" x14ac:dyDescent="0.2">
      <c r="A21" s="116">
        <v>2100</v>
      </c>
      <c r="B21" s="95" t="s">
        <v>151</v>
      </c>
      <c r="C21" s="536">
        <v>127500</v>
      </c>
      <c r="D21" s="536">
        <v>65000</v>
      </c>
      <c r="E21" s="536">
        <v>1500</v>
      </c>
      <c r="F21" s="536">
        <v>0</v>
      </c>
      <c r="G21" s="536">
        <v>0</v>
      </c>
      <c r="H21" s="536">
        <v>0</v>
      </c>
      <c r="I21" s="214">
        <v>0</v>
      </c>
      <c r="J21" s="89">
        <f t="shared" si="0"/>
        <v>194000</v>
      </c>
      <c r="K21" s="92"/>
    </row>
    <row r="22" spans="1:11" x14ac:dyDescent="0.2">
      <c r="A22" s="116">
        <v>2200</v>
      </c>
      <c r="B22" s="95" t="s">
        <v>152</v>
      </c>
      <c r="C22" s="536">
        <v>0</v>
      </c>
      <c r="D22" s="536">
        <v>0</v>
      </c>
      <c r="E22" s="536">
        <v>6375</v>
      </c>
      <c r="F22" s="536">
        <v>0</v>
      </c>
      <c r="G22" s="536">
        <v>0</v>
      </c>
      <c r="H22" s="536">
        <v>0</v>
      </c>
      <c r="I22" s="214">
        <v>0</v>
      </c>
      <c r="J22" s="89">
        <f t="shared" si="0"/>
        <v>6375</v>
      </c>
      <c r="K22" s="92"/>
    </row>
    <row r="23" spans="1:11" x14ac:dyDescent="0.2">
      <c r="A23" s="116">
        <v>2300</v>
      </c>
      <c r="B23" s="95" t="s">
        <v>153</v>
      </c>
      <c r="C23" s="536">
        <v>435885</v>
      </c>
      <c r="D23" s="536">
        <v>350000</v>
      </c>
      <c r="E23" s="536">
        <v>1035779</v>
      </c>
      <c r="F23" s="536">
        <v>0</v>
      </c>
      <c r="G23" s="536">
        <v>0</v>
      </c>
      <c r="H23" s="536">
        <v>0</v>
      </c>
      <c r="I23" s="214">
        <v>0</v>
      </c>
      <c r="J23" s="89">
        <f t="shared" si="0"/>
        <v>1821664</v>
      </c>
      <c r="K23" s="92"/>
    </row>
    <row r="24" spans="1:11" x14ac:dyDescent="0.2">
      <c r="A24" s="116">
        <v>2400</v>
      </c>
      <c r="B24" s="95" t="s">
        <v>154</v>
      </c>
      <c r="C24" s="536">
        <v>1133264</v>
      </c>
      <c r="D24" s="536">
        <v>508000</v>
      </c>
      <c r="E24" s="536">
        <v>106332</v>
      </c>
      <c r="F24" s="536">
        <v>0</v>
      </c>
      <c r="G24" s="536">
        <v>0</v>
      </c>
      <c r="H24" s="536">
        <v>0</v>
      </c>
      <c r="I24" s="214">
        <v>0</v>
      </c>
      <c r="J24" s="89">
        <f t="shared" si="0"/>
        <v>1747596</v>
      </c>
      <c r="K24" s="92"/>
    </row>
    <row r="25" spans="1:11" hidden="1" x14ac:dyDescent="0.2">
      <c r="A25" s="116">
        <v>2500</v>
      </c>
      <c r="B25" s="95" t="s">
        <v>155</v>
      </c>
      <c r="C25" s="536">
        <v>0</v>
      </c>
      <c r="D25" s="536">
        <v>0</v>
      </c>
      <c r="E25" s="536">
        <v>0</v>
      </c>
      <c r="F25" s="536">
        <v>0</v>
      </c>
      <c r="G25" s="536">
        <v>0</v>
      </c>
      <c r="H25" s="536">
        <v>0</v>
      </c>
      <c r="I25" s="214">
        <v>0</v>
      </c>
      <c r="J25" s="89">
        <f t="shared" si="0"/>
        <v>0</v>
      </c>
      <c r="K25" s="92"/>
    </row>
    <row r="26" spans="1:11" x14ac:dyDescent="0.2">
      <c r="A26" s="116">
        <v>2600</v>
      </c>
      <c r="B26" s="95" t="s">
        <v>156</v>
      </c>
      <c r="C26" s="536">
        <v>500000</v>
      </c>
      <c r="D26" s="536">
        <v>264952</v>
      </c>
      <c r="E26" s="536">
        <v>596697</v>
      </c>
      <c r="F26" s="536">
        <v>0</v>
      </c>
      <c r="G26" s="536">
        <v>0</v>
      </c>
      <c r="H26" s="536">
        <v>0</v>
      </c>
      <c r="I26" s="214">
        <v>0</v>
      </c>
      <c r="J26" s="89">
        <f t="shared" si="0"/>
        <v>1361649</v>
      </c>
      <c r="K26" s="92"/>
    </row>
    <row r="27" spans="1:11" x14ac:dyDescent="0.2">
      <c r="A27" s="217">
        <v>2700</v>
      </c>
      <c r="B27" s="211" t="s">
        <v>157</v>
      </c>
      <c r="C27" s="536">
        <v>226644</v>
      </c>
      <c r="D27" s="536">
        <v>125666</v>
      </c>
      <c r="E27" s="536">
        <v>350000</v>
      </c>
      <c r="F27" s="536">
        <v>0</v>
      </c>
      <c r="G27" s="536">
        <v>0</v>
      </c>
      <c r="H27" s="536">
        <v>0</v>
      </c>
      <c r="I27" s="214">
        <v>0</v>
      </c>
      <c r="J27" s="89">
        <f t="shared" si="0"/>
        <v>702310</v>
      </c>
      <c r="K27" s="212"/>
    </row>
    <row r="28" spans="1:11" hidden="1" x14ac:dyDescent="0.2">
      <c r="A28" s="116">
        <v>2900</v>
      </c>
      <c r="B28" s="95" t="s">
        <v>158</v>
      </c>
      <c r="C28" s="536">
        <v>0</v>
      </c>
      <c r="D28" s="536">
        <v>0</v>
      </c>
      <c r="E28" s="536">
        <v>0</v>
      </c>
      <c r="F28" s="536">
        <v>0</v>
      </c>
      <c r="G28" s="536">
        <v>0</v>
      </c>
      <c r="H28" s="536">
        <v>0</v>
      </c>
      <c r="I28" s="214">
        <v>0</v>
      </c>
      <c r="J28" s="89">
        <f t="shared" si="0"/>
        <v>0</v>
      </c>
      <c r="K28" s="92"/>
    </row>
    <row r="29" spans="1:11" s="204" customFormat="1" ht="15" hidden="1" x14ac:dyDescent="0.25">
      <c r="A29" s="218">
        <v>3000</v>
      </c>
      <c r="B29" s="216" t="s">
        <v>159</v>
      </c>
      <c r="C29" s="536">
        <v>0</v>
      </c>
      <c r="D29" s="536">
        <v>0</v>
      </c>
      <c r="E29" s="536">
        <v>0</v>
      </c>
      <c r="F29" s="536">
        <v>0</v>
      </c>
      <c r="G29" s="536">
        <v>0</v>
      </c>
      <c r="H29" s="536">
        <v>0</v>
      </c>
      <c r="I29" s="214">
        <v>0</v>
      </c>
      <c r="J29" s="89">
        <f t="shared" si="0"/>
        <v>0</v>
      </c>
      <c r="K29" s="219"/>
    </row>
    <row r="30" spans="1:11" x14ac:dyDescent="0.2">
      <c r="A30" s="217">
        <v>3100</v>
      </c>
      <c r="B30" s="211" t="s">
        <v>160</v>
      </c>
      <c r="C30" s="536">
        <v>87000</v>
      </c>
      <c r="D30" s="536">
        <v>42000</v>
      </c>
      <c r="E30" s="536">
        <v>172000</v>
      </c>
      <c r="F30" s="536">
        <v>0</v>
      </c>
      <c r="G30" s="536">
        <v>0</v>
      </c>
      <c r="H30" s="536">
        <v>32594</v>
      </c>
      <c r="I30" s="214">
        <v>0</v>
      </c>
      <c r="J30" s="89">
        <f t="shared" si="0"/>
        <v>333594</v>
      </c>
      <c r="K30" s="212"/>
    </row>
    <row r="31" spans="1:11" hidden="1" x14ac:dyDescent="0.2">
      <c r="A31" s="116">
        <v>3200</v>
      </c>
      <c r="B31" s="95" t="s">
        <v>161</v>
      </c>
      <c r="C31" s="536">
        <v>0</v>
      </c>
      <c r="D31" s="536">
        <v>0</v>
      </c>
      <c r="E31" s="536">
        <v>30000</v>
      </c>
      <c r="F31" s="536">
        <v>0</v>
      </c>
      <c r="G31" s="536">
        <v>0</v>
      </c>
      <c r="H31" s="536">
        <v>45258</v>
      </c>
      <c r="I31" s="214">
        <v>0</v>
      </c>
      <c r="J31" s="89">
        <f t="shared" si="0"/>
        <v>75258</v>
      </c>
      <c r="K31" s="92"/>
    </row>
    <row r="32" spans="1:11" hidden="1" x14ac:dyDescent="0.2">
      <c r="A32" s="116">
        <v>3300</v>
      </c>
      <c r="B32" s="95" t="s">
        <v>162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214">
        <v>0</v>
      </c>
      <c r="J32" s="89">
        <f t="shared" si="0"/>
        <v>0</v>
      </c>
      <c r="K32" s="92"/>
    </row>
    <row r="33" spans="1:11" s="225" customFormat="1" ht="15" hidden="1" x14ac:dyDescent="0.25">
      <c r="A33" s="220">
        <v>4000</v>
      </c>
      <c r="B33" s="221" t="s">
        <v>164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214">
        <v>0</v>
      </c>
      <c r="J33" s="89">
        <f t="shared" si="0"/>
        <v>0</v>
      </c>
      <c r="K33" s="224"/>
    </row>
    <row r="34" spans="1:11" s="225" customFormat="1" ht="15" hidden="1" x14ac:dyDescent="0.25">
      <c r="A34" s="220">
        <v>4100</v>
      </c>
      <c r="B34" s="221" t="s">
        <v>673</v>
      </c>
      <c r="C34" s="89"/>
      <c r="D34" s="89"/>
      <c r="E34" s="89"/>
      <c r="F34" s="89"/>
      <c r="G34" s="89"/>
      <c r="H34" s="89"/>
      <c r="I34" s="214"/>
      <c r="J34" s="89">
        <f t="shared" si="0"/>
        <v>0</v>
      </c>
      <c r="K34" s="224"/>
    </row>
    <row r="35" spans="1:11" s="223" customFormat="1" hidden="1" x14ac:dyDescent="0.2">
      <c r="A35" s="220">
        <v>4200</v>
      </c>
      <c r="B35" s="221" t="s">
        <v>165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214">
        <v>0</v>
      </c>
      <c r="J35" s="89">
        <f t="shared" si="0"/>
        <v>0</v>
      </c>
      <c r="K35" s="222"/>
    </row>
    <row r="36" spans="1:11" s="223" customFormat="1" hidden="1" x14ac:dyDescent="0.2">
      <c r="A36" s="220">
        <v>4300</v>
      </c>
      <c r="B36" s="221" t="s">
        <v>166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214">
        <v>0</v>
      </c>
      <c r="J36" s="89">
        <f t="shared" si="0"/>
        <v>0</v>
      </c>
      <c r="K36" s="222"/>
    </row>
    <row r="37" spans="1:11" s="223" customFormat="1" ht="28.5" hidden="1" x14ac:dyDescent="0.2">
      <c r="A37" s="220">
        <v>4400</v>
      </c>
      <c r="B37" s="221" t="s">
        <v>167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214">
        <v>0</v>
      </c>
      <c r="J37" s="89">
        <f t="shared" si="0"/>
        <v>0</v>
      </c>
      <c r="K37" s="222"/>
    </row>
    <row r="38" spans="1:11" s="223" customFormat="1" hidden="1" x14ac:dyDescent="0.2">
      <c r="A38" s="220">
        <v>4500</v>
      </c>
      <c r="B38" s="221" t="s">
        <v>168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214">
        <v>0</v>
      </c>
      <c r="J38" s="89">
        <f t="shared" si="0"/>
        <v>0</v>
      </c>
      <c r="K38" s="222"/>
    </row>
    <row r="39" spans="1:11" s="223" customFormat="1" hidden="1" x14ac:dyDescent="0.2">
      <c r="A39" s="220">
        <v>4600</v>
      </c>
      <c r="B39" s="221" t="s">
        <v>169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214">
        <v>0</v>
      </c>
      <c r="J39" s="89">
        <f t="shared" si="0"/>
        <v>0</v>
      </c>
      <c r="K39" s="222"/>
    </row>
    <row r="40" spans="1:11" s="223" customFormat="1" hidden="1" x14ac:dyDescent="0.2">
      <c r="A40" s="220">
        <v>4700</v>
      </c>
      <c r="B40" s="221" t="s">
        <v>170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214">
        <v>0</v>
      </c>
      <c r="J40" s="89">
        <f t="shared" si="0"/>
        <v>0</v>
      </c>
      <c r="K40" s="222"/>
    </row>
    <row r="41" spans="1:11" s="223" customFormat="1" hidden="1" x14ac:dyDescent="0.2">
      <c r="A41" s="220">
        <v>4900</v>
      </c>
      <c r="B41" s="221" t="s">
        <v>171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214">
        <v>0</v>
      </c>
      <c r="J41" s="89">
        <f t="shared" si="0"/>
        <v>0</v>
      </c>
      <c r="K41" s="222"/>
    </row>
    <row r="42" spans="1:11" hidden="1" x14ac:dyDescent="0.2">
      <c r="A42" s="220">
        <v>5000</v>
      </c>
      <c r="B42" s="226" t="s">
        <v>172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214">
        <v>0</v>
      </c>
      <c r="J42" s="89">
        <f t="shared" si="0"/>
        <v>0</v>
      </c>
      <c r="K42" s="92"/>
    </row>
    <row r="43" spans="1:11" x14ac:dyDescent="0.2">
      <c r="A43" s="220">
        <v>5000</v>
      </c>
      <c r="B43" s="226" t="s">
        <v>173</v>
      </c>
      <c r="C43" s="89">
        <v>0</v>
      </c>
      <c r="D43" s="89">
        <v>0</v>
      </c>
      <c r="E43" s="89">
        <v>498484</v>
      </c>
      <c r="F43" s="89">
        <v>0</v>
      </c>
      <c r="G43" s="89">
        <v>0</v>
      </c>
      <c r="H43" s="89">
        <v>624361</v>
      </c>
      <c r="I43" s="214">
        <v>0</v>
      </c>
      <c r="J43" s="89">
        <f t="shared" si="0"/>
        <v>1122845</v>
      </c>
      <c r="K43" s="92"/>
    </row>
    <row r="44" spans="1:11" hidden="1" x14ac:dyDescent="0.2">
      <c r="A44" s="220">
        <v>6100</v>
      </c>
      <c r="B44" s="226" t="s">
        <v>174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214">
        <v>0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89">
        <v>0</v>
      </c>
      <c r="D45" s="89">
        <v>0</v>
      </c>
      <c r="E45" s="89">
        <v>0</v>
      </c>
      <c r="F45" s="89">
        <v>1672000</v>
      </c>
      <c r="G45" s="89">
        <v>0</v>
      </c>
      <c r="H45" s="89">
        <v>0</v>
      </c>
      <c r="I45" s="214">
        <v>0</v>
      </c>
      <c r="J45" s="89">
        <f t="shared" si="0"/>
        <v>1672000</v>
      </c>
      <c r="K45" s="92"/>
    </row>
    <row r="46" spans="1:11" x14ac:dyDescent="0.2">
      <c r="A46" s="116">
        <v>6300</v>
      </c>
      <c r="B46" s="95" t="s">
        <v>176</v>
      </c>
      <c r="C46" s="89">
        <v>0</v>
      </c>
      <c r="D46" s="89">
        <v>0</v>
      </c>
      <c r="E46" s="89">
        <v>0</v>
      </c>
      <c r="F46" s="89">
        <v>0</v>
      </c>
      <c r="G46" s="89">
        <v>25000</v>
      </c>
      <c r="H46" s="89">
        <v>0</v>
      </c>
      <c r="I46" s="214">
        <v>0</v>
      </c>
      <c r="J46" s="89">
        <f t="shared" si="0"/>
        <v>25000</v>
      </c>
      <c r="K46" s="92"/>
    </row>
    <row r="47" spans="1:11" ht="15" thickBot="1" x14ac:dyDescent="0.25">
      <c r="A47" s="116">
        <v>8000</v>
      </c>
      <c r="B47" s="227" t="s">
        <v>177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473644</v>
      </c>
      <c r="I47" s="214">
        <v>0</v>
      </c>
      <c r="J47" s="89">
        <f t="shared" si="0"/>
        <v>473644</v>
      </c>
      <c r="K47" s="92"/>
    </row>
    <row r="48" spans="1:11" ht="15" hidden="1" thickBot="1" x14ac:dyDescent="0.25">
      <c r="A48" s="116"/>
      <c r="B48" s="227" t="s">
        <v>445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214">
        <v>0</v>
      </c>
      <c r="J48" s="89">
        <f t="shared" si="0"/>
        <v>0</v>
      </c>
      <c r="K48" s="92"/>
    </row>
    <row r="49" spans="1:11" ht="15" hidden="1" thickBot="1" x14ac:dyDescent="0.25">
      <c r="A49" s="229"/>
      <c r="B49" s="100" t="s">
        <v>446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214">
        <v>0</v>
      </c>
      <c r="J49" s="89">
        <f t="shared" si="0"/>
        <v>0</v>
      </c>
      <c r="K49" s="92"/>
    </row>
    <row r="50" spans="1:11" ht="15" hidden="1" thickBot="1" x14ac:dyDescent="0.25">
      <c r="A50" s="230"/>
      <c r="B50" s="231" t="s">
        <v>255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316">
        <v>0</v>
      </c>
      <c r="J50" s="232">
        <f t="shared" si="0"/>
        <v>0</v>
      </c>
      <c r="K50" s="233"/>
    </row>
    <row r="51" spans="1:11" ht="15.75" thickBot="1" x14ac:dyDescent="0.3">
      <c r="A51" s="234"/>
      <c r="B51" s="235" t="s">
        <v>447</v>
      </c>
      <c r="C51" s="236">
        <f t="shared" ref="C51:I51" si="1">SUM(C2:C50)</f>
        <v>7158625</v>
      </c>
      <c r="D51" s="236">
        <f t="shared" si="1"/>
        <v>3521685</v>
      </c>
      <c r="E51" s="236">
        <f t="shared" si="1"/>
        <v>3252840</v>
      </c>
      <c r="F51" s="236">
        <f t="shared" si="1"/>
        <v>1672000</v>
      </c>
      <c r="G51" s="236">
        <f t="shared" si="1"/>
        <v>25000</v>
      </c>
      <c r="H51" s="236">
        <f t="shared" si="1"/>
        <v>1510006</v>
      </c>
      <c r="I51" s="237">
        <f t="shared" si="1"/>
        <v>0</v>
      </c>
      <c r="J51" s="236">
        <f t="shared" si="0"/>
        <v>17140156</v>
      </c>
      <c r="K51" s="239"/>
    </row>
    <row r="52" spans="1:11" ht="15.75" thickBot="1" x14ac:dyDescent="0.3">
      <c r="A52" s="218" t="s">
        <v>448</v>
      </c>
      <c r="B52" s="95"/>
      <c r="C52" s="240">
        <v>0</v>
      </c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241">
        <v>0</v>
      </c>
      <c r="J52" s="144">
        <f t="shared" si="0"/>
        <v>0</v>
      </c>
      <c r="K52" s="112"/>
    </row>
    <row r="53" spans="1:11" ht="15.75" hidden="1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233"/>
    </row>
    <row r="54" spans="1:11" ht="20.25" customHeight="1" thickBot="1" x14ac:dyDescent="0.3">
      <c r="A54" s="245" t="s">
        <v>454</v>
      </c>
      <c r="B54" s="246"/>
      <c r="C54" s="247">
        <f>SUM(C51:C53)</f>
        <v>7158625</v>
      </c>
      <c r="D54" s="247">
        <f t="shared" ref="D54:H54" si="2">SUM(D51:D53)</f>
        <v>3521685</v>
      </c>
      <c r="E54" s="247">
        <f t="shared" si="2"/>
        <v>3252840</v>
      </c>
      <c r="F54" s="247">
        <f t="shared" si="2"/>
        <v>1672000</v>
      </c>
      <c r="G54" s="247">
        <f t="shared" si="2"/>
        <v>25000</v>
      </c>
      <c r="H54" s="247">
        <f t="shared" si="2"/>
        <v>1510006</v>
      </c>
      <c r="I54" s="248">
        <f>SUM(I51:I53)</f>
        <v>0</v>
      </c>
      <c r="J54" s="236">
        <f>SUM(C54:I54)</f>
        <v>17140156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hidden="1" x14ac:dyDescent="0.25">
      <c r="A56" s="116"/>
      <c r="B56" s="95" t="s">
        <v>179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214">
        <v>0</v>
      </c>
      <c r="J56" s="89">
        <f t="shared" si="0"/>
        <v>0</v>
      </c>
      <c r="K56" s="249"/>
    </row>
    <row r="57" spans="1:11" ht="15" x14ac:dyDescent="0.25">
      <c r="A57" s="116"/>
      <c r="B57" s="95" t="s">
        <v>145</v>
      </c>
      <c r="C57" s="536">
        <v>32000</v>
      </c>
      <c r="D57" s="536">
        <v>14742</v>
      </c>
      <c r="E57" s="536">
        <v>14258</v>
      </c>
      <c r="F57" s="536">
        <v>0</v>
      </c>
      <c r="G57" s="536">
        <v>0</v>
      </c>
      <c r="H57" s="536">
        <v>0</v>
      </c>
      <c r="I57" s="214">
        <v>0</v>
      </c>
      <c r="J57" s="89">
        <f t="shared" si="0"/>
        <v>61000</v>
      </c>
      <c r="K57" s="249"/>
    </row>
    <row r="58" spans="1:11" ht="15" x14ac:dyDescent="0.25">
      <c r="A58" s="116"/>
      <c r="B58" s="95" t="s">
        <v>180</v>
      </c>
      <c r="C58" s="536">
        <v>172711</v>
      </c>
      <c r="D58" s="536">
        <v>48881</v>
      </c>
      <c r="E58" s="536">
        <v>22408</v>
      </c>
      <c r="F58" s="536">
        <v>0</v>
      </c>
      <c r="G58" s="536">
        <v>0</v>
      </c>
      <c r="H58" s="536">
        <v>0</v>
      </c>
      <c r="I58" s="214">
        <v>0</v>
      </c>
      <c r="J58" s="89">
        <f t="shared" si="0"/>
        <v>244000</v>
      </c>
      <c r="K58" s="249"/>
    </row>
    <row r="59" spans="1:11" ht="15" hidden="1" x14ac:dyDescent="0.25">
      <c r="A59" s="116"/>
      <c r="B59" s="95" t="s">
        <v>181</v>
      </c>
      <c r="C59" s="536">
        <v>0</v>
      </c>
      <c r="D59" s="536">
        <v>0</v>
      </c>
      <c r="E59" s="536">
        <v>0</v>
      </c>
      <c r="F59" s="536">
        <v>0</v>
      </c>
      <c r="G59" s="536">
        <v>0</v>
      </c>
      <c r="H59" s="536">
        <v>0</v>
      </c>
      <c r="I59" s="214">
        <v>0</v>
      </c>
      <c r="J59" s="89">
        <f t="shared" si="0"/>
        <v>0</v>
      </c>
      <c r="K59" s="249"/>
    </row>
    <row r="60" spans="1:11" ht="15" hidden="1" x14ac:dyDescent="0.25">
      <c r="A60" s="116"/>
      <c r="B60" s="95" t="s">
        <v>182</v>
      </c>
      <c r="C60" s="536">
        <v>0</v>
      </c>
      <c r="D60" s="536">
        <v>0</v>
      </c>
      <c r="E60" s="536">
        <v>0</v>
      </c>
      <c r="F60" s="536">
        <v>0</v>
      </c>
      <c r="G60" s="536">
        <v>0</v>
      </c>
      <c r="H60" s="536">
        <v>0</v>
      </c>
      <c r="I60" s="214">
        <v>0</v>
      </c>
      <c r="J60" s="89">
        <f t="shared" si="0"/>
        <v>0</v>
      </c>
      <c r="K60" s="249"/>
    </row>
    <row r="61" spans="1:11" ht="15" x14ac:dyDescent="0.25">
      <c r="A61" s="251"/>
      <c r="B61" s="100" t="s">
        <v>183</v>
      </c>
      <c r="C61" s="536">
        <v>0</v>
      </c>
      <c r="D61" s="536">
        <v>0</v>
      </c>
      <c r="E61" s="536">
        <v>25000</v>
      </c>
      <c r="F61" s="536">
        <v>0</v>
      </c>
      <c r="G61" s="536">
        <v>0</v>
      </c>
      <c r="H61" s="536">
        <v>15356</v>
      </c>
      <c r="I61" s="214">
        <v>0</v>
      </c>
      <c r="J61" s="89">
        <f t="shared" si="0"/>
        <v>40356</v>
      </c>
      <c r="K61" s="249"/>
    </row>
    <row r="62" spans="1:11" ht="15" hidden="1" x14ac:dyDescent="0.25">
      <c r="A62" s="251"/>
      <c r="B62" s="100" t="s">
        <v>184</v>
      </c>
      <c r="C62" s="536">
        <v>0</v>
      </c>
      <c r="D62" s="536">
        <v>0</v>
      </c>
      <c r="E62" s="536">
        <v>0</v>
      </c>
      <c r="F62" s="536">
        <v>0</v>
      </c>
      <c r="G62" s="536">
        <v>0</v>
      </c>
      <c r="H62" s="536">
        <v>0</v>
      </c>
      <c r="I62" s="214">
        <v>0</v>
      </c>
      <c r="J62" s="89">
        <f t="shared" si="0"/>
        <v>0</v>
      </c>
      <c r="K62" s="249"/>
    </row>
    <row r="63" spans="1:11" ht="15" x14ac:dyDescent="0.25">
      <c r="A63" s="251"/>
      <c r="B63" s="100" t="s">
        <v>185</v>
      </c>
      <c r="C63" s="536">
        <v>0</v>
      </c>
      <c r="D63" s="536">
        <v>0</v>
      </c>
      <c r="E63" s="536">
        <v>50000</v>
      </c>
      <c r="F63" s="536">
        <v>0</v>
      </c>
      <c r="G63" s="536">
        <v>0</v>
      </c>
      <c r="H63" s="536">
        <v>21627</v>
      </c>
      <c r="I63" s="214">
        <v>0</v>
      </c>
      <c r="J63" s="89">
        <f t="shared" si="0"/>
        <v>71627</v>
      </c>
      <c r="K63" s="249"/>
    </row>
    <row r="64" spans="1:11" ht="15" hidden="1" x14ac:dyDescent="0.25">
      <c r="A64" s="251"/>
      <c r="B64" s="100" t="s">
        <v>186</v>
      </c>
      <c r="C64" s="536">
        <v>0</v>
      </c>
      <c r="D64" s="536">
        <v>0</v>
      </c>
      <c r="E64" s="536">
        <v>0</v>
      </c>
      <c r="F64" s="536">
        <v>0</v>
      </c>
      <c r="G64" s="536">
        <v>0</v>
      </c>
      <c r="H64" s="536">
        <v>0</v>
      </c>
      <c r="I64" s="214">
        <v>0</v>
      </c>
      <c r="J64" s="89">
        <f t="shared" si="0"/>
        <v>0</v>
      </c>
      <c r="K64" s="249"/>
    </row>
    <row r="65" spans="1:11" ht="15" hidden="1" x14ac:dyDescent="0.25">
      <c r="A65" s="251"/>
      <c r="B65" s="100" t="s">
        <v>187</v>
      </c>
      <c r="C65" s="536">
        <v>0</v>
      </c>
      <c r="D65" s="536">
        <v>0</v>
      </c>
      <c r="E65" s="536">
        <v>0</v>
      </c>
      <c r="F65" s="536">
        <v>0</v>
      </c>
      <c r="G65" s="536">
        <v>0</v>
      </c>
      <c r="H65" s="536">
        <v>0</v>
      </c>
      <c r="I65" s="214">
        <v>0</v>
      </c>
      <c r="J65" s="89">
        <f t="shared" si="0"/>
        <v>0</v>
      </c>
      <c r="K65" s="249"/>
    </row>
    <row r="66" spans="1:11" ht="15" x14ac:dyDescent="0.25">
      <c r="A66" s="251"/>
      <c r="B66" s="100" t="s">
        <v>188</v>
      </c>
      <c r="C66" s="536">
        <v>0</v>
      </c>
      <c r="D66" s="536">
        <v>0</v>
      </c>
      <c r="E66" s="536">
        <v>345000</v>
      </c>
      <c r="F66" s="536">
        <v>0</v>
      </c>
      <c r="G66" s="536">
        <v>0</v>
      </c>
      <c r="H66" s="536">
        <v>107466</v>
      </c>
      <c r="I66" s="214">
        <v>0</v>
      </c>
      <c r="J66" s="89">
        <f t="shared" si="0"/>
        <v>452466</v>
      </c>
      <c r="K66" s="249"/>
    </row>
    <row r="67" spans="1:11" ht="15" hidden="1" x14ac:dyDescent="0.25">
      <c r="A67" s="251"/>
      <c r="B67" s="100" t="s">
        <v>189</v>
      </c>
      <c r="C67" s="536">
        <v>0</v>
      </c>
      <c r="D67" s="536">
        <v>0</v>
      </c>
      <c r="E67" s="536">
        <v>0</v>
      </c>
      <c r="F67" s="536">
        <v>0</v>
      </c>
      <c r="G67" s="536">
        <v>0</v>
      </c>
      <c r="H67" s="536">
        <v>0</v>
      </c>
      <c r="I67" s="214">
        <v>0</v>
      </c>
      <c r="J67" s="89">
        <f t="shared" si="0"/>
        <v>0</v>
      </c>
      <c r="K67" s="249"/>
    </row>
    <row r="68" spans="1:11" ht="15" hidden="1" x14ac:dyDescent="0.25">
      <c r="A68" s="116"/>
      <c r="B68" s="95" t="s">
        <v>190</v>
      </c>
      <c r="C68" s="536">
        <v>0</v>
      </c>
      <c r="D68" s="536">
        <v>0</v>
      </c>
      <c r="E68" s="536">
        <v>0</v>
      </c>
      <c r="F68" s="536">
        <v>0</v>
      </c>
      <c r="G68" s="536">
        <v>0</v>
      </c>
      <c r="H68" s="536">
        <v>0</v>
      </c>
      <c r="I68" s="214">
        <v>0</v>
      </c>
      <c r="J68" s="89">
        <f t="shared" ref="J68:J131" si="3">SUM(C68:I68)</f>
        <v>0</v>
      </c>
      <c r="K68" s="249"/>
    </row>
    <row r="69" spans="1:11" ht="15" hidden="1" x14ac:dyDescent="0.25">
      <c r="A69" s="116"/>
      <c r="B69" s="95" t="s">
        <v>191</v>
      </c>
      <c r="C69" s="536">
        <v>0</v>
      </c>
      <c r="D69" s="536">
        <v>0</v>
      </c>
      <c r="E69" s="536">
        <v>0</v>
      </c>
      <c r="F69" s="536">
        <v>0</v>
      </c>
      <c r="G69" s="536">
        <v>0</v>
      </c>
      <c r="H69" s="536">
        <v>0</v>
      </c>
      <c r="I69" s="214">
        <v>0</v>
      </c>
      <c r="J69" s="89">
        <f t="shared" si="3"/>
        <v>0</v>
      </c>
      <c r="K69" s="249"/>
    </row>
    <row r="70" spans="1:11" ht="15" x14ac:dyDescent="0.25">
      <c r="A70" s="116"/>
      <c r="B70" s="95" t="s">
        <v>192</v>
      </c>
      <c r="C70" s="536">
        <v>922334</v>
      </c>
      <c r="D70" s="536">
        <v>331362</v>
      </c>
      <c r="E70" s="536">
        <v>90000</v>
      </c>
      <c r="F70" s="536">
        <v>100000</v>
      </c>
      <c r="G70" s="536">
        <v>0</v>
      </c>
      <c r="H70" s="536">
        <v>247815</v>
      </c>
      <c r="I70" s="214">
        <v>0</v>
      </c>
      <c r="J70" s="89">
        <f t="shared" si="3"/>
        <v>1691511</v>
      </c>
      <c r="K70" s="249"/>
    </row>
    <row r="71" spans="1:11" ht="15" hidden="1" x14ac:dyDescent="0.25">
      <c r="A71" s="116"/>
      <c r="B71" s="95" t="s">
        <v>193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214">
        <v>0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198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214">
        <v>0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200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201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214">
        <v>0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202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214">
        <v>0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203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214">
        <v>0</v>
      </c>
      <c r="J81" s="89">
        <f t="shared" si="3"/>
        <v>0</v>
      </c>
      <c r="K81" s="249"/>
    </row>
    <row r="82" spans="1:12" ht="15" x14ac:dyDescent="0.25">
      <c r="A82" s="116"/>
      <c r="B82" s="95" t="s">
        <v>204</v>
      </c>
      <c r="C82" s="536">
        <v>240000</v>
      </c>
      <c r="D82" s="536">
        <v>105000</v>
      </c>
      <c r="E82" s="536">
        <v>355000</v>
      </c>
      <c r="F82" s="89">
        <v>0</v>
      </c>
      <c r="G82" s="89">
        <v>0</v>
      </c>
      <c r="H82" s="89">
        <v>0</v>
      </c>
      <c r="I82" s="214">
        <v>0</v>
      </c>
      <c r="J82" s="89">
        <f t="shared" si="3"/>
        <v>700000</v>
      </c>
      <c r="K82" s="249"/>
    </row>
    <row r="83" spans="1:12" ht="15" hidden="1" x14ac:dyDescent="0.25">
      <c r="A83" s="116"/>
      <c r="B83" s="95" t="s">
        <v>205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214">
        <v>0</v>
      </c>
      <c r="J83" s="89">
        <f t="shared" si="3"/>
        <v>0</v>
      </c>
      <c r="K83" s="249"/>
    </row>
    <row r="84" spans="1:12" hidden="1" x14ac:dyDescent="0.2">
      <c r="A84" s="116"/>
      <c r="B84" s="95" t="s">
        <v>206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214">
        <v>0</v>
      </c>
      <c r="J84" s="89">
        <f t="shared" si="3"/>
        <v>0</v>
      </c>
      <c r="K84" s="252"/>
    </row>
    <row r="85" spans="1:12" hidden="1" x14ac:dyDescent="0.2">
      <c r="A85" s="116"/>
      <c r="B85" s="95" t="s">
        <v>207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214">
        <v>0</v>
      </c>
      <c r="J85" s="89">
        <f t="shared" si="3"/>
        <v>0</v>
      </c>
      <c r="K85" s="252"/>
    </row>
    <row r="86" spans="1:12" ht="15" hidden="1" x14ac:dyDescent="0.25">
      <c r="A86" s="116"/>
      <c r="B86" s="95" t="s">
        <v>208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214">
        <v>0</v>
      </c>
      <c r="J86" s="89">
        <f t="shared" si="3"/>
        <v>0</v>
      </c>
      <c r="K86" s="249"/>
    </row>
    <row r="87" spans="1:12" ht="15" hidden="1" x14ac:dyDescent="0.25">
      <c r="A87" s="116"/>
      <c r="B87" s="95" t="s">
        <v>209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214">
        <v>0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210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214">
        <v>0</v>
      </c>
      <c r="J88" s="89">
        <f t="shared" si="3"/>
        <v>0</v>
      </c>
      <c r="K88" s="249"/>
      <c r="L88" s="77"/>
    </row>
    <row r="89" spans="1:12" ht="15" hidden="1" x14ac:dyDescent="0.25">
      <c r="A89" s="116"/>
      <c r="B89" s="95" t="s">
        <v>211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214">
        <v>0</v>
      </c>
      <c r="J89" s="89">
        <f t="shared" si="3"/>
        <v>0</v>
      </c>
      <c r="K89" s="249"/>
      <c r="L89" s="77"/>
    </row>
    <row r="90" spans="1:12" ht="15" hidden="1" x14ac:dyDescent="0.25">
      <c r="A90" s="116"/>
      <c r="B90" s="95" t="s">
        <v>212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214">
        <v>0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213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214">
        <v>0</v>
      </c>
      <c r="J91" s="89">
        <f t="shared" si="3"/>
        <v>0</v>
      </c>
      <c r="K91" s="249"/>
      <c r="L91" s="77"/>
    </row>
    <row r="92" spans="1:12" hidden="1" x14ac:dyDescent="0.2">
      <c r="A92" s="116"/>
      <c r="B92" s="95" t="s">
        <v>214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214">
        <v>0</v>
      </c>
      <c r="J92" s="89">
        <f t="shared" si="3"/>
        <v>0</v>
      </c>
      <c r="K92" s="252"/>
    </row>
    <row r="93" spans="1:12" hidden="1" x14ac:dyDescent="0.2">
      <c r="A93" s="116"/>
      <c r="B93" s="95" t="s">
        <v>215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214">
        <v>0</v>
      </c>
      <c r="J93" s="89">
        <f t="shared" si="3"/>
        <v>0</v>
      </c>
      <c r="K93" s="252"/>
    </row>
    <row r="94" spans="1:12" hidden="1" x14ac:dyDescent="0.2">
      <c r="A94" s="116"/>
      <c r="B94" s="95" t="s">
        <v>216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214">
        <v>0</v>
      </c>
      <c r="J94" s="89">
        <f t="shared" si="3"/>
        <v>0</v>
      </c>
      <c r="K94" s="252"/>
    </row>
    <row r="95" spans="1:12" hidden="1" x14ac:dyDescent="0.2">
      <c r="A95" s="116"/>
      <c r="B95" s="95" t="s">
        <v>217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214">
        <v>0</v>
      </c>
      <c r="J95" s="89">
        <f t="shared" si="3"/>
        <v>0</v>
      </c>
      <c r="K95" s="252"/>
    </row>
    <row r="96" spans="1:12" hidden="1" x14ac:dyDescent="0.2">
      <c r="A96" s="116"/>
      <c r="B96" s="95" t="s">
        <v>218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214">
        <v>0</v>
      </c>
      <c r="J96" s="89">
        <f t="shared" si="3"/>
        <v>0</v>
      </c>
      <c r="K96" s="252"/>
    </row>
    <row r="97" spans="1:11" hidden="1" x14ac:dyDescent="0.2">
      <c r="A97" s="116"/>
      <c r="B97" s="95" t="s">
        <v>219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214">
        <v>0</v>
      </c>
      <c r="J97" s="89">
        <f t="shared" si="3"/>
        <v>0</v>
      </c>
      <c r="K97" s="252"/>
    </row>
    <row r="98" spans="1:11" ht="15" hidden="1" x14ac:dyDescent="0.25">
      <c r="A98" s="251"/>
      <c r="B98" s="100" t="s">
        <v>220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214">
        <v>0</v>
      </c>
      <c r="J98" s="89">
        <f t="shared" si="3"/>
        <v>0</v>
      </c>
      <c r="K98" s="249"/>
    </row>
    <row r="99" spans="1:11" ht="15" hidden="1" x14ac:dyDescent="0.25">
      <c r="A99" s="251"/>
      <c r="B99" s="100" t="s">
        <v>221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214">
        <v>0</v>
      </c>
      <c r="J99" s="89">
        <f t="shared" si="3"/>
        <v>0</v>
      </c>
      <c r="K99" s="249"/>
    </row>
    <row r="100" spans="1:11" hidden="1" x14ac:dyDescent="0.2">
      <c r="A100" s="210" t="s">
        <v>10</v>
      </c>
      <c r="B100" s="211" t="s">
        <v>142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214">
        <v>0</v>
      </c>
      <c r="J100" s="89">
        <f t="shared" si="3"/>
        <v>0</v>
      </c>
      <c r="K100" s="255"/>
    </row>
    <row r="101" spans="1:11" hidden="1" x14ac:dyDescent="0.2">
      <c r="A101" s="210" t="s">
        <v>10</v>
      </c>
      <c r="B101" s="211" t="s">
        <v>141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33</v>
      </c>
      <c r="B102" s="211" t="s">
        <v>222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hidden="1" x14ac:dyDescent="0.2">
      <c r="A103" s="210" t="s">
        <v>10</v>
      </c>
      <c r="B103" s="211" t="s">
        <v>138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0</v>
      </c>
      <c r="J103" s="89">
        <f t="shared" si="3"/>
        <v>0</v>
      </c>
      <c r="K103" s="255"/>
    </row>
    <row r="104" spans="1:11" hidden="1" x14ac:dyDescent="0.2">
      <c r="A104" s="210" t="s">
        <v>10</v>
      </c>
      <c r="B104" s="211" t="s">
        <v>136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214">
        <v>0</v>
      </c>
      <c r="J104" s="89">
        <f t="shared" si="3"/>
        <v>0</v>
      </c>
      <c r="K104" s="255"/>
    </row>
    <row r="105" spans="1:11" hidden="1" x14ac:dyDescent="0.2">
      <c r="A105" s="257"/>
      <c r="B105" s="95" t="s">
        <v>223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252"/>
    </row>
    <row r="106" spans="1:11" hidden="1" x14ac:dyDescent="0.2">
      <c r="A106" s="257"/>
      <c r="B106" s="95" t="s">
        <v>224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252"/>
    </row>
    <row r="107" spans="1:11" hidden="1" x14ac:dyDescent="0.2">
      <c r="A107" s="257"/>
      <c r="B107" s="95" t="s">
        <v>225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214">
        <v>0</v>
      </c>
      <c r="J107" s="89">
        <f t="shared" si="3"/>
        <v>0</v>
      </c>
      <c r="K107" s="252"/>
    </row>
    <row r="108" spans="1:11" hidden="1" x14ac:dyDescent="0.2">
      <c r="A108" s="257"/>
      <c r="B108" s="95" t="s">
        <v>226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252"/>
    </row>
    <row r="109" spans="1:11" ht="15" hidden="1" x14ac:dyDescent="0.25">
      <c r="A109" s="116"/>
      <c r="B109" s="95" t="s">
        <v>227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0</v>
      </c>
      <c r="J109" s="89">
        <f t="shared" si="3"/>
        <v>0</v>
      </c>
      <c r="K109" s="249"/>
    </row>
    <row r="110" spans="1:11" ht="15" hidden="1" x14ac:dyDescent="0.25">
      <c r="A110" s="116"/>
      <c r="B110" s="95" t="s">
        <v>228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214">
        <v>0</v>
      </c>
      <c r="J110" s="89">
        <f t="shared" si="3"/>
        <v>0</v>
      </c>
      <c r="K110" s="249"/>
    </row>
    <row r="111" spans="1:11" ht="15" hidden="1" x14ac:dyDescent="0.25">
      <c r="A111" s="116"/>
      <c r="B111" s="95" t="s">
        <v>229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214">
        <v>0</v>
      </c>
      <c r="J111" s="89">
        <f t="shared" si="3"/>
        <v>0</v>
      </c>
      <c r="K111" s="249"/>
    </row>
    <row r="112" spans="1:11" ht="15" hidden="1" x14ac:dyDescent="0.25">
      <c r="A112" s="116"/>
      <c r="B112" s="95" t="s">
        <v>230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231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232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0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233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234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49"/>
    </row>
    <row r="117" spans="1:11" ht="15" hidden="1" x14ac:dyDescent="0.25">
      <c r="A117" s="116"/>
      <c r="B117" s="95" t="s">
        <v>9</v>
      </c>
      <c r="C117" s="89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214">
        <v>0</v>
      </c>
      <c r="J117" s="89">
        <f t="shared" si="3"/>
        <v>0</v>
      </c>
      <c r="K117" s="249"/>
    </row>
    <row r="118" spans="1:11" ht="15" hidden="1" x14ac:dyDescent="0.25">
      <c r="A118" s="116"/>
      <c r="B118" s="95" t="s">
        <v>235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214">
        <v>0</v>
      </c>
      <c r="J118" s="89">
        <f t="shared" si="3"/>
        <v>0</v>
      </c>
      <c r="K118" s="249"/>
    </row>
    <row r="119" spans="1:11" ht="15" x14ac:dyDescent="0.25">
      <c r="A119" s="116"/>
      <c r="B119" s="95" t="s">
        <v>236</v>
      </c>
      <c r="C119" s="89">
        <v>81850</v>
      </c>
      <c r="D119" s="89">
        <v>11815</v>
      </c>
      <c r="E119" s="89">
        <v>242188</v>
      </c>
      <c r="F119" s="89">
        <v>0</v>
      </c>
      <c r="G119" s="89">
        <v>0</v>
      </c>
      <c r="H119" s="89">
        <v>0</v>
      </c>
      <c r="I119" s="214">
        <v>0</v>
      </c>
      <c r="J119" s="89">
        <f t="shared" si="3"/>
        <v>335853</v>
      </c>
      <c r="K119" s="249"/>
    </row>
    <row r="120" spans="1:11" ht="15" hidden="1" x14ac:dyDescent="0.25">
      <c r="A120" s="116"/>
      <c r="B120" s="95" t="s">
        <v>237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214">
        <v>0</v>
      </c>
      <c r="J120" s="89">
        <f t="shared" si="3"/>
        <v>0</v>
      </c>
      <c r="K120" s="249"/>
    </row>
    <row r="121" spans="1:11" ht="15" hidden="1" x14ac:dyDescent="0.25">
      <c r="A121" s="116"/>
      <c r="B121" s="95" t="s">
        <v>238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214">
        <v>0</v>
      </c>
      <c r="J121" s="89">
        <f t="shared" si="3"/>
        <v>0</v>
      </c>
      <c r="K121" s="249"/>
    </row>
    <row r="122" spans="1:11" ht="15" hidden="1" x14ac:dyDescent="0.25">
      <c r="A122" s="251"/>
      <c r="B122" s="100" t="s">
        <v>239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251"/>
      <c r="B123" s="100" t="s">
        <v>240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0</v>
      </c>
      <c r="J123" s="89">
        <f t="shared" si="3"/>
        <v>0</v>
      </c>
      <c r="K123" s="249"/>
    </row>
    <row r="124" spans="1:11" ht="15" x14ac:dyDescent="0.25">
      <c r="A124" s="251"/>
      <c r="B124" s="100" t="s">
        <v>241</v>
      </c>
      <c r="C124" s="89">
        <v>0</v>
      </c>
      <c r="D124" s="89">
        <v>0</v>
      </c>
      <c r="E124" s="89">
        <v>16496.8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16496.8</v>
      </c>
      <c r="K124" s="249"/>
    </row>
    <row r="125" spans="1:11" ht="15" hidden="1" x14ac:dyDescent="0.25">
      <c r="A125" s="258"/>
      <c r="B125" s="244" t="s">
        <v>242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243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214">
        <v>0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244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hidden="1" x14ac:dyDescent="0.25">
      <c r="A128" s="260" t="s">
        <v>245</v>
      </c>
      <c r="B128" s="317"/>
      <c r="C128" s="89"/>
      <c r="D128" s="89"/>
      <c r="E128" s="89"/>
      <c r="F128" s="89"/>
      <c r="G128" s="89"/>
      <c r="H128" s="89"/>
      <c r="I128" s="214"/>
      <c r="J128" s="89"/>
      <c r="K128" s="249"/>
    </row>
    <row r="129" spans="1:11" ht="15" hidden="1" x14ac:dyDescent="0.25">
      <c r="A129" s="116"/>
      <c r="B129" s="95" t="s">
        <v>246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214">
        <v>0</v>
      </c>
      <c r="J129" s="89">
        <f t="shared" si="3"/>
        <v>0</v>
      </c>
      <c r="K129" s="249"/>
    </row>
    <row r="130" spans="1:11" hidden="1" x14ac:dyDescent="0.2">
      <c r="A130" s="251"/>
      <c r="B130" s="100" t="s">
        <v>247</v>
      </c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214">
        <v>0</v>
      </c>
      <c r="J130" s="89">
        <f t="shared" si="3"/>
        <v>0</v>
      </c>
      <c r="K130" s="252"/>
    </row>
    <row r="131" spans="1:11" hidden="1" x14ac:dyDescent="0.2">
      <c r="A131" s="116"/>
      <c r="B131" s="95" t="s">
        <v>248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249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ref="J132:J147" si="4">SUM(C132:I132)</f>
        <v>0</v>
      </c>
      <c r="K132" s="252"/>
    </row>
    <row r="133" spans="1:11" hidden="1" x14ac:dyDescent="0.2">
      <c r="A133" s="116"/>
      <c r="B133" s="95" t="s">
        <v>250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214">
        <v>0</v>
      </c>
      <c r="J133" s="89">
        <f t="shared" si="4"/>
        <v>0</v>
      </c>
      <c r="K133" s="92"/>
    </row>
    <row r="134" spans="1:11" hidden="1" x14ac:dyDescent="0.2">
      <c r="A134" s="116"/>
      <c r="B134" s="95" t="s">
        <v>251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252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253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254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255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256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257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hidden="1" x14ac:dyDescent="0.2">
      <c r="A141" s="116"/>
      <c r="B141" s="95" t="s">
        <v>258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0</v>
      </c>
      <c r="J141" s="89">
        <f t="shared" si="4"/>
        <v>0</v>
      </c>
      <c r="K141" s="92"/>
    </row>
    <row r="142" spans="1:11" hidden="1" x14ac:dyDescent="0.2">
      <c r="A142" s="116"/>
      <c r="B142" s="95" t="s">
        <v>259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214">
        <v>0</v>
      </c>
      <c r="J142" s="89">
        <f t="shared" si="4"/>
        <v>0</v>
      </c>
      <c r="K142" s="92"/>
    </row>
    <row r="143" spans="1:11" hidden="1" x14ac:dyDescent="0.2">
      <c r="A143" s="116"/>
      <c r="B143" s="95" t="s">
        <v>260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214">
        <v>0</v>
      </c>
      <c r="J143" s="89">
        <f t="shared" si="4"/>
        <v>0</v>
      </c>
      <c r="K143" s="92"/>
    </row>
    <row r="144" spans="1:11" ht="15.75" thickBot="1" x14ac:dyDescent="0.3">
      <c r="A144" s="261" t="s">
        <v>456</v>
      </c>
      <c r="B144" s="262"/>
      <c r="C144" s="263">
        <f>SUM(C55:C143)</f>
        <v>1448895</v>
      </c>
      <c r="D144" s="263">
        <f t="shared" ref="D144:H144" si="5">SUM(D55:D143)</f>
        <v>511800</v>
      </c>
      <c r="E144" s="263">
        <f t="shared" si="5"/>
        <v>1160350.8</v>
      </c>
      <c r="F144" s="263">
        <f t="shared" si="5"/>
        <v>100000</v>
      </c>
      <c r="G144" s="263">
        <f t="shared" si="5"/>
        <v>0</v>
      </c>
      <c r="H144" s="263">
        <f t="shared" si="5"/>
        <v>392264</v>
      </c>
      <c r="I144" s="264">
        <f>SUM(I55:I143)</f>
        <v>0</v>
      </c>
      <c r="J144" s="265">
        <f t="shared" si="4"/>
        <v>3613309.8</v>
      </c>
      <c r="K144" s="266"/>
    </row>
    <row r="145" spans="1:10" ht="18.75" customHeight="1" thickBot="1" x14ac:dyDescent="0.3">
      <c r="A145" s="245" t="s">
        <v>457</v>
      </c>
      <c r="B145" s="246"/>
      <c r="C145" s="247">
        <f>C54+C144</f>
        <v>8607520</v>
      </c>
      <c r="D145" s="247">
        <f t="shared" ref="D145:I145" si="6">D54+D144</f>
        <v>4033485</v>
      </c>
      <c r="E145" s="247">
        <f t="shared" si="6"/>
        <v>4413190.8</v>
      </c>
      <c r="F145" s="247">
        <f t="shared" si="6"/>
        <v>1772000</v>
      </c>
      <c r="G145" s="247">
        <f t="shared" si="6"/>
        <v>25000</v>
      </c>
      <c r="H145" s="247">
        <f t="shared" si="6"/>
        <v>1902270</v>
      </c>
      <c r="I145" s="248">
        <f t="shared" si="6"/>
        <v>0</v>
      </c>
      <c r="J145" s="236">
        <f t="shared" si="4"/>
        <v>20753465.800000001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0</v>
      </c>
      <c r="F146" s="269">
        <v>-1772000</v>
      </c>
      <c r="G146" s="269">
        <v>0</v>
      </c>
      <c r="H146" s="269">
        <v>0</v>
      </c>
      <c r="I146" s="270">
        <v>0</v>
      </c>
      <c r="J146" s="144">
        <f t="shared" si="4"/>
        <v>-1772000</v>
      </c>
    </row>
    <row r="147" spans="1:10" ht="21.75" customHeight="1" thickBot="1" x14ac:dyDescent="0.3">
      <c r="A147" s="271" t="s">
        <v>459</v>
      </c>
      <c r="B147" s="103"/>
      <c r="C147" s="272">
        <f>C145+C146</f>
        <v>8607520</v>
      </c>
      <c r="D147" s="272">
        <f t="shared" ref="D147:I147" si="7">D145+D146</f>
        <v>4033485</v>
      </c>
      <c r="E147" s="272">
        <f t="shared" si="7"/>
        <v>4413190.8</v>
      </c>
      <c r="F147" s="272">
        <f t="shared" si="7"/>
        <v>0</v>
      </c>
      <c r="G147" s="272">
        <f t="shared" si="7"/>
        <v>25000</v>
      </c>
      <c r="H147" s="272">
        <f t="shared" si="7"/>
        <v>1902270</v>
      </c>
      <c r="I147" s="272">
        <f t="shared" si="7"/>
        <v>0</v>
      </c>
      <c r="J147" s="272">
        <f t="shared" si="4"/>
        <v>18981465.800000001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74"/>
      <c r="J148" s="274"/>
    </row>
    <row r="149" spans="1:10" x14ac:dyDescent="0.2">
      <c r="A149" s="275"/>
      <c r="B149" s="191" t="str">
        <f>'PCFP - All Revenue AA-1 R-10'!C81</f>
        <v>Lincoln County School District</v>
      </c>
      <c r="C149" s="274" t="s">
        <v>428</v>
      </c>
      <c r="D149" s="274"/>
      <c r="E149" s="276"/>
      <c r="F149" s="276"/>
      <c r="G149" s="276"/>
      <c r="H149" s="274"/>
      <c r="J149" s="278" t="str">
        <f>"Budget Fiscal Year "&amp;TEXT('[10]Form 1'!$C$136, "mm/dd/yy")</f>
        <v>Budget Fiscal Year 2019-2020</v>
      </c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H150" s="274"/>
      <c r="J150" s="280" t="s">
        <v>461</v>
      </c>
    </row>
    <row r="151" spans="1:10" x14ac:dyDescent="0.2">
      <c r="H151" s="280"/>
      <c r="I151" s="280"/>
      <c r="J151" s="191"/>
    </row>
  </sheetData>
  <pageMargins left="0.55000000000000004" right="0" top="0.5" bottom="0.25" header="0.5" footer="0"/>
  <pageSetup scale="68" fitToHeight="3" orientation="landscape" r:id="rId1"/>
  <headerFooter alignWithMargins="0">
    <oddFooter>&amp;C&amp;8FORM 4405LGF
Last Revised 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6AA53-1339-4292-B9CF-6C22B258C724}">
  <dimension ref="A2:B17"/>
  <sheetViews>
    <sheetView showGridLines="0" workbookViewId="0">
      <selection activeCell="H36" sqref="H36"/>
    </sheetView>
  </sheetViews>
  <sheetFormatPr defaultRowHeight="12.75" x14ac:dyDescent="0.2"/>
  <cols>
    <col min="1" max="1" width="5.140625" style="668" customWidth="1"/>
    <col min="2" max="2" width="5.28515625" style="668" customWidth="1"/>
    <col min="3" max="16384" width="9.140625" style="668"/>
  </cols>
  <sheetData>
    <row r="2" spans="1:2" ht="18" x14ac:dyDescent="0.25">
      <c r="A2" s="666" t="s">
        <v>833</v>
      </c>
      <c r="B2" s="667"/>
    </row>
    <row r="3" spans="1:2" x14ac:dyDescent="0.2">
      <c r="A3" s="667"/>
      <c r="B3" s="667"/>
    </row>
    <row r="4" spans="1:2" ht="15.75" x14ac:dyDescent="0.25">
      <c r="A4" s="669" t="s">
        <v>111</v>
      </c>
      <c r="B4" s="667"/>
    </row>
    <row r="5" spans="1:2" ht="15.75" x14ac:dyDescent="0.25">
      <c r="A5" s="669"/>
      <c r="B5" s="667"/>
    </row>
    <row r="6" spans="1:2" ht="15" x14ac:dyDescent="0.2">
      <c r="A6" s="670"/>
      <c r="B6" s="668" t="s">
        <v>112</v>
      </c>
    </row>
    <row r="7" spans="1:2" x14ac:dyDescent="0.2">
      <c r="B7" s="668" t="s">
        <v>113</v>
      </c>
    </row>
    <row r="9" spans="1:2" x14ac:dyDescent="0.2">
      <c r="A9" s="667" t="s">
        <v>114</v>
      </c>
    </row>
    <row r="11" spans="1:2" x14ac:dyDescent="0.2">
      <c r="B11" s="668" t="s">
        <v>115</v>
      </c>
    </row>
    <row r="13" spans="1:2" x14ac:dyDescent="0.2">
      <c r="B13" s="668" t="s">
        <v>87</v>
      </c>
    </row>
    <row r="15" spans="1:2" x14ac:dyDescent="0.2">
      <c r="B15" s="668" t="s">
        <v>116</v>
      </c>
    </row>
    <row r="17" spans="2:2" x14ac:dyDescent="0.2">
      <c r="B17" s="668" t="s">
        <v>89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100B4-B546-4606-A4AA-38DFAD933FA2}">
  <dimension ref="A1:G159"/>
  <sheetViews>
    <sheetView showGridLines="0" zoomScale="85" zoomScaleNormal="85" workbookViewId="0">
      <selection activeCell="H169" sqref="H169"/>
    </sheetView>
  </sheetViews>
  <sheetFormatPr defaultRowHeight="12.75" x14ac:dyDescent="0.2"/>
  <cols>
    <col min="1" max="1" width="5" style="667" bestFit="1" customWidth="1"/>
    <col min="2" max="2" width="41.140625" style="668" bestFit="1" customWidth="1"/>
    <col min="3" max="3" width="16.28515625" style="12" bestFit="1" customWidth="1"/>
    <col min="4" max="4" width="12.5703125" style="12" bestFit="1" customWidth="1"/>
    <col min="5" max="5" width="16.28515625" style="668" bestFit="1" customWidth="1"/>
    <col min="6" max="6" width="16.7109375" style="668" bestFit="1" customWidth="1"/>
    <col min="7" max="7" width="16.5703125" style="668" bestFit="1" customWidth="1"/>
    <col min="8" max="16384" width="9.140625" style="668"/>
  </cols>
  <sheetData>
    <row r="1" spans="1:5" s="673" customFormat="1" ht="18" x14ac:dyDescent="0.25">
      <c r="A1" s="666"/>
      <c r="B1" s="671" t="s">
        <v>261</v>
      </c>
      <c r="C1" s="496" t="s">
        <v>834</v>
      </c>
      <c r="D1" s="672" t="s">
        <v>119</v>
      </c>
    </row>
    <row r="3" spans="1:5" s="675" customFormat="1" ht="38.25" x14ac:dyDescent="0.2">
      <c r="A3" s="674"/>
      <c r="B3" s="674" t="s">
        <v>120</v>
      </c>
      <c r="C3" s="14" t="s">
        <v>835</v>
      </c>
      <c r="D3" s="14" t="s">
        <v>546</v>
      </c>
      <c r="E3" s="14" t="s">
        <v>836</v>
      </c>
    </row>
    <row r="5" spans="1:5" x14ac:dyDescent="0.2">
      <c r="B5" s="676" t="s">
        <v>124</v>
      </c>
      <c r="C5" s="12">
        <f>'19_20 District Budget Summ-11'!U33</f>
        <v>35818221</v>
      </c>
      <c r="D5" s="12">
        <v>0</v>
      </c>
      <c r="E5" s="677">
        <f>C5-D5</f>
        <v>35818221</v>
      </c>
    </row>
    <row r="6" spans="1:5" x14ac:dyDescent="0.2">
      <c r="E6" s="677"/>
    </row>
    <row r="7" spans="1:5" x14ac:dyDescent="0.2">
      <c r="B7" s="676" t="s">
        <v>125</v>
      </c>
      <c r="C7" s="12">
        <f>'19_20 District Budget Summ-11'!U46</f>
        <v>62326437</v>
      </c>
      <c r="D7" s="12">
        <v>0</v>
      </c>
      <c r="E7" s="677">
        <f t="shared" ref="E7:E11" si="0">C7-D7</f>
        <v>62326437</v>
      </c>
    </row>
    <row r="8" spans="1:5" x14ac:dyDescent="0.2">
      <c r="E8" s="677"/>
    </row>
    <row r="9" spans="1:5" x14ac:dyDescent="0.2">
      <c r="B9" s="676" t="s">
        <v>126</v>
      </c>
      <c r="C9" s="12">
        <f>'19_20 District Budget Summ-11'!U60</f>
        <v>8233551</v>
      </c>
      <c r="D9" s="12">
        <v>0</v>
      </c>
      <c r="E9" s="677">
        <f t="shared" si="0"/>
        <v>8233551</v>
      </c>
    </row>
    <row r="10" spans="1:5" x14ac:dyDescent="0.2">
      <c r="E10" s="677"/>
    </row>
    <row r="11" spans="1:5" x14ac:dyDescent="0.2">
      <c r="B11" s="676" t="s">
        <v>127</v>
      </c>
      <c r="C11" s="12">
        <f>'19_20 District Budget Summ-11'!U67</f>
        <v>18000000</v>
      </c>
      <c r="D11" s="12">
        <v>0</v>
      </c>
      <c r="E11" s="677">
        <f t="shared" si="0"/>
        <v>18000000</v>
      </c>
    </row>
    <row r="12" spans="1:5" x14ac:dyDescent="0.2">
      <c r="E12" s="677"/>
    </row>
    <row r="13" spans="1:5" s="667" customFormat="1" x14ac:dyDescent="0.2">
      <c r="B13" s="678" t="s">
        <v>128</v>
      </c>
      <c r="C13" s="19">
        <f t="shared" ref="C13" si="1">SUM(C5:C12)</f>
        <v>124378209</v>
      </c>
      <c r="D13" s="19">
        <f>SUM(D5:D12)</f>
        <v>0</v>
      </c>
      <c r="E13" s="679">
        <f>SUM(E5:E12)</f>
        <v>124378209</v>
      </c>
    </row>
    <row r="15" spans="1:5" x14ac:dyDescent="0.2">
      <c r="B15" s="676" t="s">
        <v>129</v>
      </c>
      <c r="C15" s="12">
        <f>'19_20 District Budget Summ-11'!U78</f>
        <v>20339917</v>
      </c>
      <c r="D15" s="12">
        <v>0</v>
      </c>
      <c r="E15" s="21">
        <f t="shared" ref="E15" si="2">C15-D15</f>
        <v>20339917</v>
      </c>
    </row>
    <row r="17" spans="1:7" x14ac:dyDescent="0.2">
      <c r="A17" s="680"/>
      <c r="B17" s="681" t="s">
        <v>306</v>
      </c>
      <c r="C17" s="24">
        <f t="shared" ref="C17" si="3">SUM(C13:C15)</f>
        <v>144718126</v>
      </c>
      <c r="D17" s="24">
        <f>SUM(D13:D15)</f>
        <v>0</v>
      </c>
      <c r="E17" s="682">
        <f>SUM(C17:D17)</f>
        <v>144718126</v>
      </c>
      <c r="F17" s="26"/>
      <c r="G17" s="677"/>
    </row>
    <row r="18" spans="1:7" s="667" customFormat="1" x14ac:dyDescent="0.2">
      <c r="A18" s="683"/>
      <c r="B18" s="684" t="s">
        <v>131</v>
      </c>
      <c r="C18" s="285">
        <f>SUM(C21,C38,C68,C70)</f>
        <v>144718126</v>
      </c>
      <c r="D18" s="285">
        <f>SUM(D21,D38,D68,D70)</f>
        <v>0</v>
      </c>
      <c r="E18" s="685">
        <f>SUM(C18:D18)</f>
        <v>144718126</v>
      </c>
    </row>
    <row r="19" spans="1:7" x14ac:dyDescent="0.2">
      <c r="A19" s="686"/>
      <c r="B19" s="946" t="s">
        <v>132</v>
      </c>
      <c r="C19" s="909">
        <f t="shared" ref="C19:E19" si="4">C17-C18</f>
        <v>0</v>
      </c>
      <c r="D19" s="909">
        <f>D17-D18</f>
        <v>0</v>
      </c>
      <c r="E19" s="685">
        <f t="shared" si="4"/>
        <v>0</v>
      </c>
    </row>
    <row r="21" spans="1:7" x14ac:dyDescent="0.2">
      <c r="B21" s="667" t="s">
        <v>307</v>
      </c>
      <c r="C21" s="12">
        <f>SUM(C22:C36)</f>
        <v>54138333</v>
      </c>
      <c r="D21" s="12">
        <f>SUM(D22:D36)</f>
        <v>0</v>
      </c>
    </row>
    <row r="22" spans="1:7" hidden="1" x14ac:dyDescent="0.2">
      <c r="A22" s="667">
        <v>100</v>
      </c>
      <c r="B22" s="668" t="s">
        <v>134</v>
      </c>
      <c r="C22" s="12">
        <f>'19_20 District Budget Summ-11'!U85</f>
        <v>37356452.5</v>
      </c>
      <c r="D22" s="12">
        <v>0</v>
      </c>
      <c r="E22" s="12"/>
    </row>
    <row r="23" spans="1:7" hidden="1" x14ac:dyDescent="0.2">
      <c r="A23" s="667">
        <v>200</v>
      </c>
      <c r="B23" s="668" t="s">
        <v>135</v>
      </c>
      <c r="C23" s="12">
        <f>'19_20 District Budget Summ-11'!U86</f>
        <v>10395441.5</v>
      </c>
      <c r="D23" s="12">
        <v>0</v>
      </c>
      <c r="E23" s="12"/>
    </row>
    <row r="24" spans="1:7" hidden="1" x14ac:dyDescent="0.2">
      <c r="A24" s="667" t="s">
        <v>10</v>
      </c>
      <c r="B24" s="668" t="s">
        <v>136</v>
      </c>
      <c r="C24" s="12">
        <f>'19_20 District Budget Summ-11'!U87</f>
        <v>0</v>
      </c>
      <c r="D24" s="12">
        <v>0</v>
      </c>
      <c r="E24" s="12"/>
    </row>
    <row r="25" spans="1:7" hidden="1" x14ac:dyDescent="0.2">
      <c r="A25" s="667">
        <v>270</v>
      </c>
      <c r="B25" s="668" t="s">
        <v>137</v>
      </c>
      <c r="C25" s="12">
        <f>'19_20 District Budget Summ-11'!U88</f>
        <v>279754</v>
      </c>
      <c r="D25" s="12">
        <v>0</v>
      </c>
      <c r="E25" s="12"/>
    </row>
    <row r="26" spans="1:7" hidden="1" x14ac:dyDescent="0.2">
      <c r="A26" s="667" t="s">
        <v>10</v>
      </c>
      <c r="B26" s="668" t="s">
        <v>138</v>
      </c>
      <c r="C26" s="12">
        <f>'19_20 District Budget Summ-11'!U89</f>
        <v>0</v>
      </c>
      <c r="D26" s="12">
        <v>0</v>
      </c>
      <c r="E26" s="12"/>
    </row>
    <row r="27" spans="1:7" hidden="1" x14ac:dyDescent="0.2">
      <c r="A27" s="667">
        <v>300</v>
      </c>
      <c r="B27" s="668" t="s">
        <v>139</v>
      </c>
      <c r="C27" s="12">
        <f>'19_20 District Budget Summ-11'!U90</f>
        <v>1694891</v>
      </c>
      <c r="D27" s="12">
        <v>0</v>
      </c>
      <c r="E27" s="12"/>
    </row>
    <row r="28" spans="1:7" hidden="1" x14ac:dyDescent="0.2">
      <c r="A28" s="667">
        <v>400</v>
      </c>
      <c r="B28" s="668" t="s">
        <v>140</v>
      </c>
      <c r="C28" s="12">
        <f>'19_20 District Budget Summ-11'!U91</f>
        <v>2241357</v>
      </c>
      <c r="D28" s="12">
        <v>0</v>
      </c>
      <c r="E28" s="12"/>
    </row>
    <row r="29" spans="1:7" hidden="1" x14ac:dyDescent="0.2">
      <c r="A29" s="667" t="s">
        <v>10</v>
      </c>
      <c r="B29" s="668" t="s">
        <v>141</v>
      </c>
      <c r="C29" s="12">
        <f>'19_20 District Budget Summ-11'!U92</f>
        <v>0</v>
      </c>
      <c r="D29" s="12">
        <v>0</v>
      </c>
      <c r="E29" s="12"/>
    </row>
    <row r="30" spans="1:7" hidden="1" x14ac:dyDescent="0.2">
      <c r="A30" s="667" t="s">
        <v>10</v>
      </c>
      <c r="B30" s="668" t="s">
        <v>142</v>
      </c>
      <c r="C30" s="12">
        <f>'19_20 District Budget Summ-11'!U93</f>
        <v>0</v>
      </c>
      <c r="D30" s="12">
        <v>0</v>
      </c>
      <c r="E30" s="12"/>
    </row>
    <row r="31" spans="1:7" hidden="1" x14ac:dyDescent="0.2">
      <c r="A31" s="667">
        <v>440</v>
      </c>
      <c r="B31" s="668" t="s">
        <v>143</v>
      </c>
      <c r="C31" s="12">
        <f>'19_20 District Budget Summ-11'!U95</f>
        <v>20091</v>
      </c>
      <c r="D31" s="12">
        <v>0</v>
      </c>
      <c r="E31" s="12"/>
    </row>
    <row r="32" spans="1:7" hidden="1" x14ac:dyDescent="0.2">
      <c r="A32" s="667">
        <v>500</v>
      </c>
      <c r="B32" s="668" t="s">
        <v>144</v>
      </c>
      <c r="C32" s="12">
        <f>'19_20 District Budget Summ-11'!U96</f>
        <v>0</v>
      </c>
      <c r="D32" s="12">
        <v>0</v>
      </c>
      <c r="E32" s="12"/>
    </row>
    <row r="33" spans="1:5" hidden="1" x14ac:dyDescent="0.2">
      <c r="A33" s="667">
        <v>600</v>
      </c>
      <c r="B33" s="668" t="s">
        <v>145</v>
      </c>
      <c r="C33" s="12">
        <f>'19_20 District Budget Summ-11'!U97</f>
        <v>246389</v>
      </c>
      <c r="D33" s="12">
        <v>0</v>
      </c>
      <c r="E33" s="12"/>
    </row>
    <row r="34" spans="1:5" hidden="1" x14ac:dyDescent="0.2">
      <c r="A34" s="667">
        <v>800</v>
      </c>
      <c r="B34" s="668" t="s">
        <v>146</v>
      </c>
      <c r="C34" s="12">
        <f>'19_20 District Budget Summ-11'!U98</f>
        <v>0</v>
      </c>
      <c r="D34" s="12">
        <v>0</v>
      </c>
      <c r="E34" s="12"/>
    </row>
    <row r="35" spans="1:5" hidden="1" x14ac:dyDescent="0.2">
      <c r="A35" s="667">
        <v>910</v>
      </c>
      <c r="B35" s="668" t="s">
        <v>147</v>
      </c>
      <c r="C35" s="12">
        <f>'19_20 District Budget Summ-11'!U99</f>
        <v>404296</v>
      </c>
      <c r="D35" s="12">
        <v>0</v>
      </c>
      <c r="E35" s="12"/>
    </row>
    <row r="36" spans="1:5" hidden="1" x14ac:dyDescent="0.2">
      <c r="A36" s="667">
        <v>920</v>
      </c>
      <c r="B36" s="668" t="s">
        <v>148</v>
      </c>
      <c r="C36" s="12">
        <f>'19_20 District Budget Summ-11'!U100</f>
        <v>1499661</v>
      </c>
      <c r="D36" s="12">
        <v>0</v>
      </c>
      <c r="E36" s="12"/>
    </row>
    <row r="37" spans="1:5" x14ac:dyDescent="0.2">
      <c r="E37" s="12"/>
    </row>
    <row r="38" spans="1:5" x14ac:dyDescent="0.2">
      <c r="A38" s="667" t="s">
        <v>149</v>
      </c>
      <c r="B38" s="667" t="s">
        <v>150</v>
      </c>
      <c r="C38" s="12">
        <f>SUM(C39:C66)</f>
        <v>98894793</v>
      </c>
      <c r="D38" s="12">
        <f>SUM(D39:D66)</f>
        <v>0</v>
      </c>
      <c r="E38" s="12"/>
    </row>
    <row r="39" spans="1:5" hidden="1" x14ac:dyDescent="0.2">
      <c r="A39" s="667">
        <v>2100</v>
      </c>
      <c r="B39" s="668" t="s">
        <v>151</v>
      </c>
      <c r="C39" s="12">
        <f>'19_20 District Budget Summ-11'!U103</f>
        <v>9062770.5</v>
      </c>
      <c r="D39" s="12">
        <v>0</v>
      </c>
      <c r="E39" s="12"/>
    </row>
    <row r="40" spans="1:5" hidden="1" x14ac:dyDescent="0.2">
      <c r="A40" s="667">
        <v>2200</v>
      </c>
      <c r="B40" s="668" t="s">
        <v>152</v>
      </c>
      <c r="C40" s="12">
        <f>'19_20 District Budget Summ-11'!U104</f>
        <v>3627019</v>
      </c>
      <c r="D40" s="12">
        <v>0</v>
      </c>
      <c r="E40" s="12"/>
    </row>
    <row r="41" spans="1:5" hidden="1" x14ac:dyDescent="0.2">
      <c r="A41" s="667">
        <v>2300</v>
      </c>
      <c r="B41" s="668" t="s">
        <v>153</v>
      </c>
      <c r="C41" s="12">
        <f>'19_20 District Budget Summ-11'!U105</f>
        <v>2326637</v>
      </c>
      <c r="D41" s="12">
        <v>0</v>
      </c>
      <c r="E41" s="12"/>
    </row>
    <row r="42" spans="1:5" hidden="1" x14ac:dyDescent="0.2">
      <c r="A42" s="667">
        <v>2400</v>
      </c>
      <c r="B42" s="668" t="s">
        <v>154</v>
      </c>
      <c r="C42" s="12">
        <f>'19_20 District Budget Summ-11'!U106</f>
        <v>7726003</v>
      </c>
      <c r="D42" s="12">
        <v>0</v>
      </c>
      <c r="E42" s="12"/>
    </row>
    <row r="43" spans="1:5" hidden="1" x14ac:dyDescent="0.2">
      <c r="A43" s="667">
        <v>2500</v>
      </c>
      <c r="B43" s="668" t="s">
        <v>155</v>
      </c>
      <c r="C43" s="12">
        <f>'19_20 District Budget Summ-11'!U107</f>
        <v>5527029</v>
      </c>
      <c r="D43" s="12">
        <v>0</v>
      </c>
      <c r="E43" s="12"/>
    </row>
    <row r="44" spans="1:5" hidden="1" x14ac:dyDescent="0.2">
      <c r="A44" s="667">
        <v>2600</v>
      </c>
      <c r="B44" s="668" t="s">
        <v>156</v>
      </c>
      <c r="C44" s="12">
        <f>'19_20 District Budget Summ-11'!U108</f>
        <v>8548531.5</v>
      </c>
      <c r="D44" s="12">
        <v>0</v>
      </c>
      <c r="E44" s="12"/>
    </row>
    <row r="45" spans="1:5" hidden="1" x14ac:dyDescent="0.2">
      <c r="A45" s="667">
        <v>2700</v>
      </c>
      <c r="B45" s="668" t="s">
        <v>157</v>
      </c>
      <c r="C45" s="12">
        <f>'19_20 District Budget Summ-11'!U109</f>
        <v>5413854</v>
      </c>
      <c r="D45" s="12">
        <v>0</v>
      </c>
      <c r="E45" s="12"/>
    </row>
    <row r="46" spans="1:5" hidden="1" x14ac:dyDescent="0.2">
      <c r="A46" s="667">
        <v>2900</v>
      </c>
      <c r="B46" s="668" t="s">
        <v>158</v>
      </c>
      <c r="C46" s="12">
        <f>'19_20 District Budget Summ-11'!U110</f>
        <v>0</v>
      </c>
      <c r="D46" s="12">
        <v>0</v>
      </c>
      <c r="E46" s="12"/>
    </row>
    <row r="47" spans="1:5" hidden="1" x14ac:dyDescent="0.2">
      <c r="A47" s="667">
        <v>3000</v>
      </c>
      <c r="B47" s="668" t="s">
        <v>159</v>
      </c>
      <c r="C47" s="12">
        <f>'19_20 District Budget Summ-11'!U111</f>
        <v>0</v>
      </c>
      <c r="D47" s="12">
        <v>0</v>
      </c>
      <c r="E47" s="12"/>
    </row>
    <row r="48" spans="1:5" hidden="1" x14ac:dyDescent="0.2">
      <c r="A48" s="667">
        <v>3100</v>
      </c>
      <c r="B48" s="668" t="s">
        <v>160</v>
      </c>
      <c r="C48" s="12">
        <f>'19_20 District Budget Summ-11'!U112</f>
        <v>3827030</v>
      </c>
      <c r="D48" s="12">
        <v>0</v>
      </c>
      <c r="E48" s="12"/>
    </row>
    <row r="49" spans="1:5" hidden="1" x14ac:dyDescent="0.2">
      <c r="A49" s="667">
        <v>3200</v>
      </c>
      <c r="B49" s="668" t="s">
        <v>161</v>
      </c>
      <c r="C49" s="12">
        <f>'19_20 District Budget Summ-11'!U113</f>
        <v>0</v>
      </c>
      <c r="D49" s="12">
        <v>0</v>
      </c>
      <c r="E49" s="12"/>
    </row>
    <row r="50" spans="1:5" hidden="1" x14ac:dyDescent="0.2">
      <c r="A50" s="667">
        <v>3300</v>
      </c>
      <c r="B50" s="668" t="s">
        <v>162</v>
      </c>
      <c r="C50" s="12">
        <f>'19_20 District Budget Summ-11'!U114</f>
        <v>126808</v>
      </c>
      <c r="D50" s="12">
        <v>0</v>
      </c>
      <c r="E50" s="12"/>
    </row>
    <row r="51" spans="1:5" hidden="1" x14ac:dyDescent="0.2">
      <c r="A51" s="667">
        <v>4000</v>
      </c>
      <c r="B51" s="668" t="s">
        <v>164</v>
      </c>
      <c r="C51" s="12">
        <f>'19_20 District Budget Summ-11'!U115</f>
        <v>0</v>
      </c>
      <c r="D51" s="12">
        <v>0</v>
      </c>
      <c r="E51" s="12"/>
    </row>
    <row r="52" spans="1:5" hidden="1" x14ac:dyDescent="0.2">
      <c r="A52" s="667">
        <v>4100</v>
      </c>
      <c r="B52" s="668" t="s">
        <v>163</v>
      </c>
      <c r="C52" s="12">
        <f>'19_20 District Budget Summ-11'!U116</f>
        <v>0</v>
      </c>
      <c r="D52" s="12">
        <v>0</v>
      </c>
      <c r="E52" s="12"/>
    </row>
    <row r="53" spans="1:5" hidden="1" x14ac:dyDescent="0.2">
      <c r="A53" s="667">
        <v>4200</v>
      </c>
      <c r="B53" s="668" t="s">
        <v>165</v>
      </c>
      <c r="C53" s="12">
        <f>'19_20 District Budget Summ-11'!U117</f>
        <v>0</v>
      </c>
      <c r="D53" s="12">
        <v>0</v>
      </c>
      <c r="E53" s="12"/>
    </row>
    <row r="54" spans="1:5" hidden="1" x14ac:dyDescent="0.2">
      <c r="A54" s="667">
        <v>4300</v>
      </c>
      <c r="B54" s="668" t="s">
        <v>166</v>
      </c>
      <c r="C54" s="12">
        <f>'19_20 District Budget Summ-11'!U118</f>
        <v>775000</v>
      </c>
      <c r="D54" s="12">
        <v>0</v>
      </c>
      <c r="E54" s="12"/>
    </row>
    <row r="55" spans="1:5" hidden="1" x14ac:dyDescent="0.2">
      <c r="A55" s="667">
        <v>4400</v>
      </c>
      <c r="B55" s="668" t="s">
        <v>167</v>
      </c>
      <c r="C55" s="12">
        <f>'19_20 District Budget Summ-11'!U119</f>
        <v>0</v>
      </c>
      <c r="D55" s="12">
        <v>0</v>
      </c>
      <c r="E55" s="12"/>
    </row>
    <row r="56" spans="1:5" hidden="1" x14ac:dyDescent="0.2">
      <c r="A56" s="667">
        <v>4500</v>
      </c>
      <c r="B56" s="668" t="s">
        <v>168</v>
      </c>
      <c r="C56" s="12">
        <f>'19_20 District Budget Summ-11'!U120</f>
        <v>8155000</v>
      </c>
      <c r="D56" s="12">
        <v>0</v>
      </c>
      <c r="E56" s="12"/>
    </row>
    <row r="57" spans="1:5" hidden="1" x14ac:dyDescent="0.2">
      <c r="A57" s="667">
        <v>4600</v>
      </c>
      <c r="B57" s="668" t="s">
        <v>169</v>
      </c>
      <c r="C57" s="12">
        <f>'19_20 District Budget Summ-11'!U121</f>
        <v>1175000</v>
      </c>
      <c r="D57" s="12">
        <v>0</v>
      </c>
      <c r="E57" s="12"/>
    </row>
    <row r="58" spans="1:5" hidden="1" x14ac:dyDescent="0.2">
      <c r="A58" s="667">
        <v>4700</v>
      </c>
      <c r="B58" s="668" t="s">
        <v>170</v>
      </c>
      <c r="C58" s="12">
        <f>'19_20 District Budget Summ-11'!U122</f>
        <v>650000</v>
      </c>
      <c r="D58" s="12">
        <v>0</v>
      </c>
      <c r="E58" s="12"/>
    </row>
    <row r="59" spans="1:5" hidden="1" x14ac:dyDescent="0.2">
      <c r="A59" s="667">
        <v>4900</v>
      </c>
      <c r="B59" s="668" t="s">
        <v>171</v>
      </c>
      <c r="C59" s="12">
        <f>'19_20 District Budget Summ-11'!U123</f>
        <v>0</v>
      </c>
      <c r="D59" s="12">
        <v>0</v>
      </c>
      <c r="E59" s="12"/>
    </row>
    <row r="60" spans="1:5" hidden="1" x14ac:dyDescent="0.2">
      <c r="A60" s="667">
        <v>5000</v>
      </c>
      <c r="B60" s="668" t="s">
        <v>172</v>
      </c>
      <c r="C60" s="12">
        <f>'19_20 District Budget Summ-11'!U124</f>
        <v>0</v>
      </c>
      <c r="D60" s="12">
        <v>0</v>
      </c>
      <c r="E60" s="12"/>
    </row>
    <row r="61" spans="1:5" hidden="1" x14ac:dyDescent="0.2">
      <c r="A61" s="667">
        <v>5000</v>
      </c>
      <c r="B61" s="668" t="s">
        <v>173</v>
      </c>
      <c r="C61" s="12">
        <f>'19_20 District Budget Summ-11'!U125</f>
        <v>7200402</v>
      </c>
      <c r="D61" s="12">
        <v>0</v>
      </c>
      <c r="E61" s="12"/>
    </row>
    <row r="62" spans="1:5" hidden="1" x14ac:dyDescent="0.2">
      <c r="A62" s="667">
        <v>6100</v>
      </c>
      <c r="B62" s="668" t="s">
        <v>174</v>
      </c>
      <c r="C62" s="12">
        <f>'19_20 District Budget Summ-11'!U126</f>
        <v>0</v>
      </c>
      <c r="D62" s="12">
        <v>0</v>
      </c>
      <c r="E62" s="12"/>
    </row>
    <row r="63" spans="1:5" hidden="1" x14ac:dyDescent="0.2">
      <c r="A63" s="667">
        <v>6200</v>
      </c>
      <c r="B63" s="668" t="s">
        <v>175</v>
      </c>
      <c r="C63" s="12">
        <f>'19_20 District Budget Summ-11'!U127</f>
        <v>9100000</v>
      </c>
      <c r="D63" s="12">
        <v>0</v>
      </c>
      <c r="E63" s="12"/>
    </row>
    <row r="64" spans="1:5" hidden="1" x14ac:dyDescent="0.2">
      <c r="A64" s="667">
        <v>6300</v>
      </c>
      <c r="B64" s="668" t="s">
        <v>176</v>
      </c>
      <c r="C64" s="12">
        <f>'19_20 District Budget Summ-11'!U128</f>
        <v>500000</v>
      </c>
      <c r="D64" s="12">
        <v>0</v>
      </c>
      <c r="E64" s="12"/>
    </row>
    <row r="65" spans="1:5" hidden="1" x14ac:dyDescent="0.2">
      <c r="A65" s="667">
        <v>8000</v>
      </c>
      <c r="B65" s="668" t="s">
        <v>177</v>
      </c>
      <c r="C65" s="12">
        <f>'19_20 District Budget Summ-11'!U129</f>
        <v>25153709</v>
      </c>
      <c r="D65" s="12">
        <v>0</v>
      </c>
      <c r="E65" s="12"/>
    </row>
    <row r="66" spans="1:5" x14ac:dyDescent="0.2">
      <c r="E66" s="12"/>
    </row>
    <row r="67" spans="1:5" x14ac:dyDescent="0.2">
      <c r="E67" s="12"/>
    </row>
    <row r="68" spans="1:5" x14ac:dyDescent="0.2">
      <c r="B68" s="668" t="str">
        <f>'PCFP-All Expense AA-1 Modifd-11'!A52</f>
        <v>DEBT SERVICE</v>
      </c>
      <c r="C68" s="12">
        <v>0</v>
      </c>
      <c r="D68" s="12">
        <v>0</v>
      </c>
      <c r="E68" s="12"/>
    </row>
    <row r="69" spans="1:5" x14ac:dyDescent="0.2">
      <c r="E69" s="12"/>
    </row>
    <row r="70" spans="1:5" s="667" customFormat="1" x14ac:dyDescent="0.2">
      <c r="A70" s="687"/>
      <c r="B70" s="667" t="s">
        <v>308</v>
      </c>
      <c r="C70" s="12">
        <f>SUM(C71:C158)</f>
        <v>-8315000</v>
      </c>
      <c r="D70" s="12">
        <f>SUM(D71:D158)</f>
        <v>0</v>
      </c>
      <c r="E70" s="12"/>
    </row>
    <row r="71" spans="1:5" hidden="1" x14ac:dyDescent="0.2">
      <c r="B71" s="668" t="s">
        <v>179</v>
      </c>
      <c r="C71" s="12">
        <f>'19_20 District Budget Summ-11'!U132</f>
        <v>0</v>
      </c>
      <c r="D71" s="12">
        <v>0</v>
      </c>
      <c r="E71" s="12"/>
    </row>
    <row r="72" spans="1:5" hidden="1" x14ac:dyDescent="0.2">
      <c r="B72" s="668" t="s">
        <v>145</v>
      </c>
      <c r="C72" s="12">
        <f>'19_20 District Budget Summ-11'!U133</f>
        <v>0</v>
      </c>
      <c r="D72" s="12">
        <v>0</v>
      </c>
      <c r="E72" s="12"/>
    </row>
    <row r="73" spans="1:5" hidden="1" x14ac:dyDescent="0.2">
      <c r="B73" s="668" t="s">
        <v>180</v>
      </c>
      <c r="C73" s="12">
        <f>'19_20 District Budget Summ-11'!U134</f>
        <v>0</v>
      </c>
      <c r="D73" s="12">
        <v>0</v>
      </c>
      <c r="E73" s="12"/>
    </row>
    <row r="74" spans="1:5" hidden="1" x14ac:dyDescent="0.2">
      <c r="B74" s="668" t="s">
        <v>181</v>
      </c>
      <c r="C74" s="12">
        <f>'19_20 District Budget Summ-11'!U135</f>
        <v>0</v>
      </c>
      <c r="D74" s="12">
        <v>0</v>
      </c>
      <c r="E74" s="12"/>
    </row>
    <row r="75" spans="1:5" hidden="1" x14ac:dyDescent="0.2">
      <c r="B75" s="668" t="s">
        <v>182</v>
      </c>
      <c r="C75" s="12">
        <f>'19_20 District Budget Summ-11'!U136</f>
        <v>0</v>
      </c>
      <c r="D75" s="12">
        <v>0</v>
      </c>
      <c r="E75" s="12"/>
    </row>
    <row r="76" spans="1:5" hidden="1" x14ac:dyDescent="0.2">
      <c r="B76" s="668" t="s">
        <v>183</v>
      </c>
      <c r="C76" s="12">
        <f>'19_20 District Budget Summ-11'!U137</f>
        <v>0</v>
      </c>
      <c r="D76" s="12">
        <v>0</v>
      </c>
      <c r="E76" s="12"/>
    </row>
    <row r="77" spans="1:5" hidden="1" x14ac:dyDescent="0.2">
      <c r="B77" s="668" t="s">
        <v>184</v>
      </c>
      <c r="C77" s="12">
        <f>'19_20 District Budget Summ-11'!U138</f>
        <v>0</v>
      </c>
      <c r="D77" s="12">
        <v>0</v>
      </c>
      <c r="E77" s="12"/>
    </row>
    <row r="78" spans="1:5" hidden="1" x14ac:dyDescent="0.2">
      <c r="B78" s="668" t="s">
        <v>185</v>
      </c>
      <c r="C78" s="12">
        <f>'19_20 District Budget Summ-11'!U139</f>
        <v>0</v>
      </c>
      <c r="D78" s="12">
        <v>0</v>
      </c>
      <c r="E78" s="12"/>
    </row>
    <row r="79" spans="1:5" hidden="1" x14ac:dyDescent="0.2">
      <c r="B79" s="668" t="s">
        <v>186</v>
      </c>
      <c r="C79" s="12">
        <f>'19_20 District Budget Summ-11'!U140</f>
        <v>0</v>
      </c>
      <c r="D79" s="12">
        <v>0</v>
      </c>
      <c r="E79" s="12"/>
    </row>
    <row r="80" spans="1:5" hidden="1" x14ac:dyDescent="0.2">
      <c r="B80" s="668" t="s">
        <v>187</v>
      </c>
      <c r="C80" s="12">
        <f>'19_20 District Budget Summ-11'!U141</f>
        <v>0</v>
      </c>
      <c r="D80" s="12">
        <v>0</v>
      </c>
      <c r="E80" s="12"/>
    </row>
    <row r="81" spans="2:5" hidden="1" x14ac:dyDescent="0.2">
      <c r="B81" s="668" t="s">
        <v>188</v>
      </c>
      <c r="C81" s="12">
        <f>'19_20 District Budget Summ-11'!U142</f>
        <v>0</v>
      </c>
      <c r="D81" s="12">
        <v>0</v>
      </c>
      <c r="E81" s="12"/>
    </row>
    <row r="82" spans="2:5" hidden="1" x14ac:dyDescent="0.2">
      <c r="B82" s="668" t="s">
        <v>189</v>
      </c>
      <c r="C82" s="12">
        <f>'19_20 District Budget Summ-11'!U143</f>
        <v>0</v>
      </c>
      <c r="D82" s="12">
        <v>0</v>
      </c>
      <c r="E82" s="12"/>
    </row>
    <row r="83" spans="2:5" hidden="1" x14ac:dyDescent="0.2">
      <c r="B83" s="668" t="s">
        <v>190</v>
      </c>
      <c r="C83" s="12">
        <f>'19_20 District Budget Summ-11'!U144</f>
        <v>0</v>
      </c>
      <c r="D83" s="12">
        <v>0</v>
      </c>
      <c r="E83" s="12"/>
    </row>
    <row r="84" spans="2:5" hidden="1" x14ac:dyDescent="0.2">
      <c r="B84" s="668" t="s">
        <v>191</v>
      </c>
      <c r="C84" s="12">
        <f>'19_20 District Budget Summ-11'!U145</f>
        <v>0</v>
      </c>
      <c r="D84" s="12">
        <v>0</v>
      </c>
      <c r="E84" s="12"/>
    </row>
    <row r="85" spans="2:5" hidden="1" x14ac:dyDescent="0.2">
      <c r="B85" s="668" t="s">
        <v>192</v>
      </c>
      <c r="C85" s="12">
        <f>'19_20 District Budget Summ-11'!U146</f>
        <v>0</v>
      </c>
      <c r="D85" s="12">
        <v>0</v>
      </c>
      <c r="E85" s="12"/>
    </row>
    <row r="86" spans="2:5" hidden="1" x14ac:dyDescent="0.2">
      <c r="B86" s="668" t="s">
        <v>193</v>
      </c>
      <c r="C86" s="12">
        <f>'19_20 District Budget Summ-11'!U147</f>
        <v>0</v>
      </c>
      <c r="D86" s="12">
        <v>0</v>
      </c>
      <c r="E86" s="12"/>
    </row>
    <row r="87" spans="2:5" hidden="1" x14ac:dyDescent="0.2">
      <c r="B87" s="668" t="s">
        <v>194</v>
      </c>
      <c r="C87" s="12">
        <f>'19_20 District Budget Summ-11'!U148</f>
        <v>0</v>
      </c>
      <c r="D87" s="12">
        <v>0</v>
      </c>
      <c r="E87" s="12"/>
    </row>
    <row r="88" spans="2:5" hidden="1" x14ac:dyDescent="0.2">
      <c r="B88" s="668" t="s">
        <v>195</v>
      </c>
      <c r="C88" s="12">
        <f>'19_20 District Budget Summ-11'!U149</f>
        <v>0</v>
      </c>
      <c r="D88" s="12">
        <v>0</v>
      </c>
      <c r="E88" s="12"/>
    </row>
    <row r="89" spans="2:5" hidden="1" x14ac:dyDescent="0.2">
      <c r="B89" s="668" t="s">
        <v>196</v>
      </c>
      <c r="C89" s="12">
        <f>'19_20 District Budget Summ-11'!U150</f>
        <v>0</v>
      </c>
      <c r="D89" s="12">
        <v>0</v>
      </c>
      <c r="E89" s="12"/>
    </row>
    <row r="90" spans="2:5" hidden="1" x14ac:dyDescent="0.2">
      <c r="B90" s="668" t="s">
        <v>197</v>
      </c>
      <c r="C90" s="12">
        <f>'19_20 District Budget Summ-11'!U151</f>
        <v>0</v>
      </c>
      <c r="D90" s="12">
        <v>0</v>
      </c>
      <c r="E90" s="12"/>
    </row>
    <row r="91" spans="2:5" hidden="1" x14ac:dyDescent="0.2">
      <c r="B91" s="668" t="s">
        <v>198</v>
      </c>
      <c r="C91" s="12">
        <f>'19_20 District Budget Summ-11'!U152</f>
        <v>0</v>
      </c>
      <c r="D91" s="12">
        <v>0</v>
      </c>
      <c r="E91" s="12"/>
    </row>
    <row r="92" spans="2:5" hidden="1" x14ac:dyDescent="0.2">
      <c r="B92" s="668" t="s">
        <v>199</v>
      </c>
      <c r="C92" s="12">
        <f>'19_20 District Budget Summ-11'!U153</f>
        <v>0</v>
      </c>
      <c r="D92" s="12">
        <v>0</v>
      </c>
      <c r="E92" s="12"/>
    </row>
    <row r="93" spans="2:5" hidden="1" x14ac:dyDescent="0.2">
      <c r="B93" s="668" t="s">
        <v>200</v>
      </c>
      <c r="C93" s="12">
        <f>'19_20 District Budget Summ-11'!U154</f>
        <v>0</v>
      </c>
      <c r="D93" s="12">
        <v>0</v>
      </c>
      <c r="E93" s="12"/>
    </row>
    <row r="94" spans="2:5" hidden="1" x14ac:dyDescent="0.2">
      <c r="B94" s="668" t="s">
        <v>201</v>
      </c>
      <c r="C94" s="12">
        <f>'19_20 District Budget Summ-11'!U155</f>
        <v>0</v>
      </c>
      <c r="D94" s="12">
        <v>0</v>
      </c>
      <c r="E94" s="12"/>
    </row>
    <row r="95" spans="2:5" hidden="1" x14ac:dyDescent="0.2">
      <c r="B95" s="668" t="s">
        <v>202</v>
      </c>
      <c r="C95" s="12">
        <f>'19_20 District Budget Summ-11'!U156</f>
        <v>0</v>
      </c>
      <c r="D95" s="12">
        <v>0</v>
      </c>
      <c r="E95" s="12"/>
    </row>
    <row r="96" spans="2:5" hidden="1" x14ac:dyDescent="0.2">
      <c r="B96" s="668" t="s">
        <v>203</v>
      </c>
      <c r="C96" s="12">
        <f>'19_20 District Budget Summ-11'!U157</f>
        <v>0</v>
      </c>
      <c r="D96" s="12">
        <v>0</v>
      </c>
      <c r="E96" s="12"/>
    </row>
    <row r="97" spans="2:5" hidden="1" x14ac:dyDescent="0.2">
      <c r="B97" s="668" t="s">
        <v>204</v>
      </c>
      <c r="C97" s="12">
        <f>'19_20 District Budget Summ-11'!U158</f>
        <v>0</v>
      </c>
      <c r="D97" s="12">
        <v>0</v>
      </c>
      <c r="E97" s="12"/>
    </row>
    <row r="98" spans="2:5" hidden="1" x14ac:dyDescent="0.2">
      <c r="B98" s="668" t="s">
        <v>205</v>
      </c>
      <c r="C98" s="12">
        <f>'19_20 District Budget Summ-11'!U159</f>
        <v>0</v>
      </c>
      <c r="D98" s="12">
        <v>0</v>
      </c>
      <c r="E98" s="12"/>
    </row>
    <row r="99" spans="2:5" hidden="1" x14ac:dyDescent="0.2">
      <c r="B99" s="668" t="s">
        <v>206</v>
      </c>
      <c r="C99" s="12">
        <f>'19_20 District Budget Summ-11'!U160</f>
        <v>0</v>
      </c>
      <c r="D99" s="12">
        <v>0</v>
      </c>
      <c r="E99" s="12"/>
    </row>
    <row r="100" spans="2:5" hidden="1" x14ac:dyDescent="0.2">
      <c r="B100" s="668" t="s">
        <v>207</v>
      </c>
      <c r="C100" s="12">
        <f>'19_20 District Budget Summ-11'!U161</f>
        <v>0</v>
      </c>
      <c r="D100" s="12">
        <v>0</v>
      </c>
      <c r="E100" s="12"/>
    </row>
    <row r="101" spans="2:5" hidden="1" x14ac:dyDescent="0.2">
      <c r="B101" s="668" t="s">
        <v>208</v>
      </c>
      <c r="C101" s="12">
        <f>'19_20 District Budget Summ-11'!U162</f>
        <v>0</v>
      </c>
      <c r="D101" s="12">
        <v>0</v>
      </c>
      <c r="E101" s="12"/>
    </row>
    <row r="102" spans="2:5" hidden="1" x14ac:dyDescent="0.2">
      <c r="B102" s="668" t="s">
        <v>209</v>
      </c>
      <c r="C102" s="12">
        <f>'19_20 District Budget Summ-11'!U163</f>
        <v>0</v>
      </c>
      <c r="D102" s="12">
        <v>0</v>
      </c>
      <c r="E102" s="12"/>
    </row>
    <row r="103" spans="2:5" hidden="1" x14ac:dyDescent="0.2">
      <c r="B103" s="668" t="s">
        <v>210</v>
      </c>
      <c r="C103" s="12">
        <f>'19_20 District Budget Summ-11'!U164</f>
        <v>0</v>
      </c>
      <c r="D103" s="12">
        <v>0</v>
      </c>
      <c r="E103" s="12"/>
    </row>
    <row r="104" spans="2:5" hidden="1" x14ac:dyDescent="0.2">
      <c r="B104" s="668" t="s">
        <v>211</v>
      </c>
      <c r="C104" s="12">
        <f>'19_20 District Budget Summ-11'!U165</f>
        <v>0</v>
      </c>
      <c r="D104" s="12">
        <v>0</v>
      </c>
      <c r="E104" s="12"/>
    </row>
    <row r="105" spans="2:5" hidden="1" x14ac:dyDescent="0.2">
      <c r="B105" s="668" t="s">
        <v>212</v>
      </c>
      <c r="C105" s="12">
        <f>'19_20 District Budget Summ-11'!U166</f>
        <v>0</v>
      </c>
      <c r="D105" s="12">
        <v>0</v>
      </c>
      <c r="E105" s="12"/>
    </row>
    <row r="106" spans="2:5" hidden="1" x14ac:dyDescent="0.2">
      <c r="B106" s="668" t="s">
        <v>213</v>
      </c>
      <c r="C106" s="12">
        <f>'19_20 District Budget Summ-11'!U167</f>
        <v>0</v>
      </c>
      <c r="D106" s="12">
        <v>0</v>
      </c>
      <c r="E106" s="12"/>
    </row>
    <row r="107" spans="2:5" hidden="1" x14ac:dyDescent="0.2">
      <c r="B107" s="668" t="s">
        <v>214</v>
      </c>
      <c r="C107" s="12">
        <f>'19_20 District Budget Summ-11'!U168</f>
        <v>0</v>
      </c>
      <c r="D107" s="12">
        <v>0</v>
      </c>
      <c r="E107" s="12"/>
    </row>
    <row r="108" spans="2:5" hidden="1" x14ac:dyDescent="0.2">
      <c r="B108" s="668" t="s">
        <v>215</v>
      </c>
      <c r="C108" s="12">
        <f>'19_20 District Budget Summ-11'!U169</f>
        <v>0</v>
      </c>
      <c r="D108" s="12">
        <v>0</v>
      </c>
      <c r="E108" s="12"/>
    </row>
    <row r="109" spans="2:5" hidden="1" x14ac:dyDescent="0.2">
      <c r="B109" s="668" t="s">
        <v>216</v>
      </c>
      <c r="C109" s="12">
        <f>'19_20 District Budget Summ-11'!U170</f>
        <v>0</v>
      </c>
      <c r="D109" s="12">
        <v>0</v>
      </c>
      <c r="E109" s="12"/>
    </row>
    <row r="110" spans="2:5" hidden="1" x14ac:dyDescent="0.2">
      <c r="B110" s="668" t="s">
        <v>217</v>
      </c>
      <c r="C110" s="12">
        <f>'19_20 District Budget Summ-11'!U171</f>
        <v>0</v>
      </c>
      <c r="D110" s="12">
        <v>0</v>
      </c>
      <c r="E110" s="12"/>
    </row>
    <row r="111" spans="2:5" hidden="1" x14ac:dyDescent="0.2">
      <c r="B111" s="668" t="s">
        <v>218</v>
      </c>
      <c r="C111" s="12">
        <f>'19_20 District Budget Summ-11'!U172</f>
        <v>0</v>
      </c>
      <c r="D111" s="12">
        <v>0</v>
      </c>
      <c r="E111" s="12"/>
    </row>
    <row r="112" spans="2:5" hidden="1" x14ac:dyDescent="0.2">
      <c r="B112" s="668" t="s">
        <v>219</v>
      </c>
      <c r="C112" s="12">
        <f>'19_20 District Budget Summ-11'!U173</f>
        <v>0</v>
      </c>
      <c r="D112" s="12">
        <v>0</v>
      </c>
      <c r="E112" s="12"/>
    </row>
    <row r="113" spans="1:5" hidden="1" x14ac:dyDescent="0.2">
      <c r="B113" s="668" t="s">
        <v>220</v>
      </c>
      <c r="C113" s="12">
        <f>'19_20 District Budget Summ-11'!U174</f>
        <v>0</v>
      </c>
      <c r="D113" s="12">
        <v>0</v>
      </c>
      <c r="E113" s="12"/>
    </row>
    <row r="114" spans="1:5" hidden="1" x14ac:dyDescent="0.2">
      <c r="B114" s="668" t="s">
        <v>221</v>
      </c>
      <c r="C114" s="12">
        <f>'19_20 District Budget Summ-11'!U175</f>
        <v>0</v>
      </c>
      <c r="D114" s="12">
        <v>0</v>
      </c>
      <c r="E114" s="12"/>
    </row>
    <row r="115" spans="1:5" hidden="1" x14ac:dyDescent="0.2">
      <c r="A115" s="667" t="s">
        <v>10</v>
      </c>
      <c r="B115" s="668" t="s">
        <v>142</v>
      </c>
      <c r="C115" s="12">
        <f>'19_20 District Budget Summ-11'!U176</f>
        <v>0</v>
      </c>
      <c r="D115" s="12">
        <v>0</v>
      </c>
      <c r="E115" s="12"/>
    </row>
    <row r="116" spans="1:5" hidden="1" x14ac:dyDescent="0.2">
      <c r="A116" s="667" t="s">
        <v>10</v>
      </c>
      <c r="B116" s="668" t="s">
        <v>141</v>
      </c>
      <c r="C116" s="12">
        <f>'19_20 District Budget Summ-11'!U177</f>
        <v>0</v>
      </c>
      <c r="D116" s="12">
        <v>0</v>
      </c>
      <c r="E116" s="12"/>
    </row>
    <row r="117" spans="1:5" hidden="1" x14ac:dyDescent="0.2">
      <c r="A117" s="667" t="s">
        <v>33</v>
      </c>
      <c r="B117" s="668" t="s">
        <v>222</v>
      </c>
      <c r="C117" s="12">
        <f>'19_20 District Budget Summ-11'!U178</f>
        <v>0</v>
      </c>
      <c r="D117" s="12">
        <v>0</v>
      </c>
      <c r="E117" s="12"/>
    </row>
    <row r="118" spans="1:5" hidden="1" x14ac:dyDescent="0.2">
      <c r="A118" s="667" t="s">
        <v>10</v>
      </c>
      <c r="B118" s="668" t="s">
        <v>138</v>
      </c>
      <c r="C118" s="12">
        <f>'19_20 District Budget Summ-11'!U179</f>
        <v>0</v>
      </c>
      <c r="D118" s="12">
        <v>0</v>
      </c>
      <c r="E118" s="12"/>
    </row>
    <row r="119" spans="1:5" hidden="1" x14ac:dyDescent="0.2">
      <c r="A119" s="667" t="s">
        <v>10</v>
      </c>
      <c r="B119" s="668" t="s">
        <v>136</v>
      </c>
      <c r="C119" s="12">
        <f>'19_20 District Budget Summ-11'!U180</f>
        <v>0</v>
      </c>
      <c r="D119" s="12">
        <v>0</v>
      </c>
      <c r="E119" s="12"/>
    </row>
    <row r="120" spans="1:5" hidden="1" x14ac:dyDescent="0.2">
      <c r="B120" s="668" t="s">
        <v>223</v>
      </c>
      <c r="C120" s="12">
        <f>'19_20 District Budget Summ-11'!U181</f>
        <v>0</v>
      </c>
      <c r="D120" s="12">
        <v>0</v>
      </c>
      <c r="E120" s="12"/>
    </row>
    <row r="121" spans="1:5" hidden="1" x14ac:dyDescent="0.2">
      <c r="B121" s="668" t="s">
        <v>224</v>
      </c>
      <c r="C121" s="12">
        <f>'19_20 District Budget Summ-11'!U182</f>
        <v>0</v>
      </c>
      <c r="D121" s="12">
        <v>0</v>
      </c>
      <c r="E121" s="12"/>
    </row>
    <row r="122" spans="1:5" hidden="1" x14ac:dyDescent="0.2">
      <c r="B122" s="668" t="s">
        <v>225</v>
      </c>
      <c r="C122" s="12">
        <f>'19_20 District Budget Summ-11'!U183</f>
        <v>0</v>
      </c>
      <c r="D122" s="12">
        <v>0</v>
      </c>
      <c r="E122" s="12"/>
    </row>
    <row r="123" spans="1:5" hidden="1" x14ac:dyDescent="0.2">
      <c r="B123" s="668" t="s">
        <v>226</v>
      </c>
      <c r="C123" s="12">
        <f>'19_20 District Budget Summ-11'!U184</f>
        <v>0</v>
      </c>
      <c r="D123" s="12">
        <v>0</v>
      </c>
      <c r="E123" s="12"/>
    </row>
    <row r="124" spans="1:5" hidden="1" x14ac:dyDescent="0.2">
      <c r="B124" s="668" t="s">
        <v>227</v>
      </c>
      <c r="C124" s="12">
        <f>'19_20 District Budget Summ-11'!U185</f>
        <v>0</v>
      </c>
      <c r="D124" s="12">
        <v>0</v>
      </c>
      <c r="E124" s="12"/>
    </row>
    <row r="125" spans="1:5" hidden="1" x14ac:dyDescent="0.2">
      <c r="B125" s="668" t="s">
        <v>228</v>
      </c>
      <c r="C125" s="12">
        <f>'19_20 District Budget Summ-11'!U186</f>
        <v>0</v>
      </c>
      <c r="D125" s="12">
        <v>0</v>
      </c>
      <c r="E125" s="12"/>
    </row>
    <row r="126" spans="1:5" hidden="1" x14ac:dyDescent="0.2">
      <c r="B126" s="668" t="s">
        <v>229</v>
      </c>
      <c r="C126" s="12">
        <f>'19_20 District Budget Summ-11'!U187</f>
        <v>0</v>
      </c>
      <c r="D126" s="12">
        <v>0</v>
      </c>
      <c r="E126" s="12"/>
    </row>
    <row r="127" spans="1:5" hidden="1" x14ac:dyDescent="0.2">
      <c r="B127" s="668" t="s">
        <v>230</v>
      </c>
      <c r="C127" s="12">
        <f>'19_20 District Budget Summ-11'!U188</f>
        <v>0</v>
      </c>
      <c r="D127" s="12">
        <v>0</v>
      </c>
      <c r="E127" s="12"/>
    </row>
    <row r="128" spans="1:5" hidden="1" x14ac:dyDescent="0.2">
      <c r="B128" s="668" t="s">
        <v>231</v>
      </c>
      <c r="C128" s="12">
        <f>'19_20 District Budget Summ-11'!U189</f>
        <v>0</v>
      </c>
      <c r="D128" s="12">
        <v>0</v>
      </c>
      <c r="E128" s="12"/>
    </row>
    <row r="129" spans="2:5" hidden="1" x14ac:dyDescent="0.2">
      <c r="B129" s="668" t="s">
        <v>232</v>
      </c>
      <c r="C129" s="12">
        <f>'19_20 District Budget Summ-11'!U190</f>
        <v>0</v>
      </c>
      <c r="D129" s="12">
        <v>0</v>
      </c>
      <c r="E129" s="12"/>
    </row>
    <row r="130" spans="2:5" hidden="1" x14ac:dyDescent="0.2">
      <c r="B130" s="668" t="s">
        <v>233</v>
      </c>
      <c r="C130" s="12">
        <f>'19_20 District Budget Summ-11'!U191</f>
        <v>0</v>
      </c>
      <c r="D130" s="12">
        <v>0</v>
      </c>
      <c r="E130" s="12"/>
    </row>
    <row r="131" spans="2:5" hidden="1" x14ac:dyDescent="0.2">
      <c r="B131" s="668" t="s">
        <v>234</v>
      </c>
      <c r="C131" s="12">
        <f>'19_20 District Budget Summ-11'!U192</f>
        <v>0</v>
      </c>
      <c r="D131" s="12">
        <v>0</v>
      </c>
      <c r="E131" s="12"/>
    </row>
    <row r="132" spans="2:5" hidden="1" x14ac:dyDescent="0.2">
      <c r="B132" s="668" t="s">
        <v>9</v>
      </c>
      <c r="C132" s="12">
        <f>'19_20 District Budget Summ-11'!U193</f>
        <v>-9100000</v>
      </c>
      <c r="D132" s="12">
        <v>0</v>
      </c>
      <c r="E132" s="12"/>
    </row>
    <row r="133" spans="2:5" hidden="1" x14ac:dyDescent="0.2">
      <c r="B133" s="668" t="s">
        <v>235</v>
      </c>
      <c r="C133" s="12">
        <f>'19_20 District Budget Summ-11'!U195</f>
        <v>0</v>
      </c>
      <c r="D133" s="12">
        <v>0</v>
      </c>
      <c r="E133" s="12"/>
    </row>
    <row r="134" spans="2:5" hidden="1" x14ac:dyDescent="0.2">
      <c r="B134" s="668" t="s">
        <v>236</v>
      </c>
      <c r="C134" s="12">
        <f>'19_20 District Budget Summ-11'!U196</f>
        <v>0</v>
      </c>
      <c r="D134" s="12">
        <v>0</v>
      </c>
      <c r="E134" s="12"/>
    </row>
    <row r="135" spans="2:5" hidden="1" x14ac:dyDescent="0.2">
      <c r="B135" s="668" t="s">
        <v>237</v>
      </c>
      <c r="C135" s="12">
        <f>'19_20 District Budget Summ-11'!U197</f>
        <v>0</v>
      </c>
      <c r="D135" s="12">
        <v>0</v>
      </c>
      <c r="E135" s="12"/>
    </row>
    <row r="136" spans="2:5" hidden="1" x14ac:dyDescent="0.2">
      <c r="B136" s="668" t="s">
        <v>238</v>
      </c>
      <c r="C136" s="12">
        <f>'19_20 District Budget Summ-11'!U198</f>
        <v>0</v>
      </c>
      <c r="D136" s="12">
        <v>0</v>
      </c>
      <c r="E136" s="12"/>
    </row>
    <row r="137" spans="2:5" hidden="1" x14ac:dyDescent="0.2">
      <c r="B137" s="668" t="s">
        <v>239</v>
      </c>
      <c r="C137" s="12">
        <f>'19_20 District Budget Summ-11'!U199</f>
        <v>0</v>
      </c>
      <c r="D137" s="12">
        <v>0</v>
      </c>
      <c r="E137" s="12"/>
    </row>
    <row r="138" spans="2:5" hidden="1" x14ac:dyDescent="0.2">
      <c r="B138" s="668" t="s">
        <v>240</v>
      </c>
      <c r="C138" s="12">
        <f>'19_20 District Budget Summ-11'!U200</f>
        <v>0</v>
      </c>
      <c r="D138" s="12">
        <v>0</v>
      </c>
      <c r="E138" s="12"/>
    </row>
    <row r="139" spans="2:5" hidden="1" x14ac:dyDescent="0.2">
      <c r="B139" s="668" t="s">
        <v>241</v>
      </c>
      <c r="C139" s="12">
        <f>'19_20 District Budget Summ-11'!U201</f>
        <v>0</v>
      </c>
      <c r="D139" s="12">
        <v>0</v>
      </c>
      <c r="E139" s="12"/>
    </row>
    <row r="140" spans="2:5" hidden="1" x14ac:dyDescent="0.2">
      <c r="B140" s="668" t="s">
        <v>242</v>
      </c>
      <c r="C140" s="12">
        <f>'19_20 District Budget Summ-11'!U202</f>
        <v>0</v>
      </c>
      <c r="D140" s="12">
        <v>0</v>
      </c>
      <c r="E140" s="12"/>
    </row>
    <row r="141" spans="2:5" hidden="1" x14ac:dyDescent="0.2">
      <c r="B141" s="668" t="s">
        <v>243</v>
      </c>
      <c r="C141" s="12">
        <f>'19_20 District Budget Summ-11'!U203</f>
        <v>0</v>
      </c>
      <c r="D141" s="12">
        <v>0</v>
      </c>
      <c r="E141" s="12"/>
    </row>
    <row r="142" spans="2:5" hidden="1" x14ac:dyDescent="0.2">
      <c r="B142" s="668" t="s">
        <v>244</v>
      </c>
      <c r="C142" s="12">
        <f>'19_20 District Budget Summ-11'!U204</f>
        <v>0</v>
      </c>
      <c r="D142" s="12">
        <v>0</v>
      </c>
      <c r="E142" s="12"/>
    </row>
    <row r="143" spans="2:5" hidden="1" x14ac:dyDescent="0.2">
      <c r="B143" s="667" t="s">
        <v>245</v>
      </c>
      <c r="E143" s="12"/>
    </row>
    <row r="144" spans="2:5" hidden="1" x14ac:dyDescent="0.2">
      <c r="B144" s="668" t="s">
        <v>246</v>
      </c>
      <c r="C144" s="12">
        <f>'19_20 District Budget Summ-11'!U206</f>
        <v>0</v>
      </c>
      <c r="D144" s="12">
        <v>0</v>
      </c>
      <c r="E144" s="12"/>
    </row>
    <row r="145" spans="2:5" hidden="1" x14ac:dyDescent="0.2">
      <c r="B145" s="668" t="s">
        <v>247</v>
      </c>
      <c r="C145" s="12">
        <f>'19_20 District Budget Summ-11'!U207</f>
        <v>0</v>
      </c>
      <c r="D145" s="12">
        <v>0</v>
      </c>
      <c r="E145" s="12"/>
    </row>
    <row r="146" spans="2:5" hidden="1" x14ac:dyDescent="0.2">
      <c r="B146" s="668" t="s">
        <v>248</v>
      </c>
      <c r="C146" s="12">
        <f>'19_20 District Budget Summ-11'!U208</f>
        <v>0</v>
      </c>
      <c r="D146" s="12">
        <v>0</v>
      </c>
      <c r="E146" s="12"/>
    </row>
    <row r="147" spans="2:5" hidden="1" x14ac:dyDescent="0.2">
      <c r="B147" s="668" t="s">
        <v>249</v>
      </c>
      <c r="C147" s="12">
        <f>'19_20 District Budget Summ-11'!U209</f>
        <v>0</v>
      </c>
      <c r="D147" s="12">
        <v>0</v>
      </c>
      <c r="E147" s="12"/>
    </row>
    <row r="148" spans="2:5" hidden="1" x14ac:dyDescent="0.2">
      <c r="B148" s="668" t="s">
        <v>250</v>
      </c>
      <c r="C148" s="12">
        <f>'19_20 District Budget Summ-11'!U210</f>
        <v>0</v>
      </c>
      <c r="D148" s="12">
        <v>0</v>
      </c>
      <c r="E148" s="12"/>
    </row>
    <row r="149" spans="2:5" hidden="1" x14ac:dyDescent="0.2">
      <c r="B149" s="668" t="s">
        <v>251</v>
      </c>
      <c r="C149" s="12">
        <f>'19_20 District Budget Summ-11'!U211</f>
        <v>0</v>
      </c>
      <c r="D149" s="12">
        <v>0</v>
      </c>
      <c r="E149" s="12"/>
    </row>
    <row r="150" spans="2:5" hidden="1" x14ac:dyDescent="0.2">
      <c r="B150" s="668" t="s">
        <v>252</v>
      </c>
      <c r="C150" s="12">
        <f>'19_20 District Budget Summ-11'!U212</f>
        <v>0</v>
      </c>
      <c r="D150" s="12">
        <v>0</v>
      </c>
      <c r="E150" s="12"/>
    </row>
    <row r="151" spans="2:5" hidden="1" x14ac:dyDescent="0.2">
      <c r="B151" s="668" t="s">
        <v>253</v>
      </c>
      <c r="C151" s="12">
        <f>'19_20 District Budget Summ-11'!U213</f>
        <v>0</v>
      </c>
      <c r="D151" s="12">
        <v>0</v>
      </c>
      <c r="E151" s="12"/>
    </row>
    <row r="152" spans="2:5" hidden="1" x14ac:dyDescent="0.2">
      <c r="B152" s="668" t="s">
        <v>254</v>
      </c>
      <c r="C152" s="12">
        <f>'19_20 District Budget Summ-11'!U214</f>
        <v>0</v>
      </c>
      <c r="D152" s="12">
        <v>0</v>
      </c>
      <c r="E152" s="12"/>
    </row>
    <row r="153" spans="2:5" hidden="1" x14ac:dyDescent="0.2">
      <c r="B153" s="668" t="s">
        <v>255</v>
      </c>
      <c r="C153" s="12">
        <f>'19_20 District Budget Summ-11'!U215</f>
        <v>0</v>
      </c>
      <c r="D153" s="12">
        <v>0</v>
      </c>
      <c r="E153" s="12"/>
    </row>
    <row r="154" spans="2:5" hidden="1" x14ac:dyDescent="0.2">
      <c r="B154" s="668" t="s">
        <v>256</v>
      </c>
      <c r="C154" s="12">
        <f>'19_20 District Budget Summ-11'!U216</f>
        <v>0</v>
      </c>
      <c r="D154" s="12">
        <v>0</v>
      </c>
      <c r="E154" s="12"/>
    </row>
    <row r="155" spans="2:5" hidden="1" x14ac:dyDescent="0.2">
      <c r="B155" s="668" t="s">
        <v>257</v>
      </c>
      <c r="C155" s="12">
        <f>'19_20 District Budget Summ-11'!U217</f>
        <v>0</v>
      </c>
      <c r="D155" s="12">
        <v>0</v>
      </c>
      <c r="E155" s="12"/>
    </row>
    <row r="156" spans="2:5" hidden="1" x14ac:dyDescent="0.2">
      <c r="B156" s="668" t="s">
        <v>258</v>
      </c>
      <c r="C156" s="12">
        <f>'19_20 District Budget Summ-11'!U218</f>
        <v>0</v>
      </c>
      <c r="D156" s="12">
        <v>0</v>
      </c>
      <c r="E156" s="12"/>
    </row>
    <row r="157" spans="2:5" hidden="1" x14ac:dyDescent="0.2">
      <c r="B157" s="668" t="s">
        <v>259</v>
      </c>
      <c r="C157" s="12">
        <f>'19_20 District Budget Summ-11'!U219</f>
        <v>20000</v>
      </c>
      <c r="D157" s="12">
        <v>0</v>
      </c>
      <c r="E157" s="12"/>
    </row>
    <row r="158" spans="2:5" hidden="1" x14ac:dyDescent="0.2">
      <c r="B158" s="668" t="s">
        <v>260</v>
      </c>
      <c r="C158" s="12">
        <f>'19_20 District Budget Summ-11'!U220</f>
        <v>765000</v>
      </c>
      <c r="D158" s="12">
        <v>0</v>
      </c>
      <c r="E158" s="12"/>
    </row>
    <row r="159" spans="2:5" x14ac:dyDescent="0.2">
      <c r="E159" s="12"/>
    </row>
  </sheetData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24DC5-4652-417E-A7D2-392C07A0B877}">
  <dimension ref="A1:X221"/>
  <sheetViews>
    <sheetView showGridLines="0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B73" sqref="AB73"/>
    </sheetView>
  </sheetViews>
  <sheetFormatPr defaultRowHeight="12.75" x14ac:dyDescent="0.2"/>
  <cols>
    <col min="1" max="1" width="5.85546875" style="667" bestFit="1" customWidth="1"/>
    <col min="2" max="2" width="38.7109375" style="668" customWidth="1"/>
    <col min="3" max="3" width="21.28515625" style="933" bestFit="1" customWidth="1"/>
    <col min="4" max="4" width="20.5703125" style="933" bestFit="1" customWidth="1"/>
    <col min="5" max="5" width="21.28515625" style="933" bestFit="1" customWidth="1"/>
    <col min="6" max="6" width="21.5703125" style="933" bestFit="1" customWidth="1"/>
    <col min="7" max="7" width="19.85546875" style="933" bestFit="1" customWidth="1"/>
    <col min="8" max="8" width="17" style="933" bestFit="1" customWidth="1"/>
    <col min="9" max="9" width="20.42578125" style="933" bestFit="1" customWidth="1"/>
    <col min="10" max="10" width="17.5703125" style="933" bestFit="1" customWidth="1"/>
    <col min="11" max="11" width="19.85546875" style="933" bestFit="1" customWidth="1"/>
    <col min="12" max="12" width="19.140625" style="933" bestFit="1" customWidth="1"/>
    <col min="13" max="13" width="21.5703125" style="933" bestFit="1" customWidth="1"/>
    <col min="14" max="14" width="20.42578125" style="933" bestFit="1" customWidth="1"/>
    <col min="15" max="15" width="17.5703125" style="933" bestFit="1" customWidth="1"/>
    <col min="16" max="17" width="19.7109375" style="933" bestFit="1" customWidth="1"/>
    <col min="18" max="18" width="19.85546875" style="933" bestFit="1" customWidth="1"/>
    <col min="19" max="19" width="16.28515625" style="933" bestFit="1" customWidth="1"/>
    <col min="20" max="20" width="20.85546875" style="933" bestFit="1" customWidth="1"/>
    <col min="21" max="21" width="38.7109375" style="949" bestFit="1" customWidth="1"/>
    <col min="22" max="22" width="17" style="949" bestFit="1" customWidth="1"/>
    <col min="23" max="23" width="15.5703125" style="668" hidden="1" customWidth="1"/>
    <col min="24" max="24" width="20.140625" style="689" hidden="1" customWidth="1"/>
    <col min="25" max="16384" width="9.140625" style="668"/>
  </cols>
  <sheetData>
    <row r="1" spans="1:24" s="673" customFormat="1" ht="18" x14ac:dyDescent="0.25">
      <c r="A1" s="666"/>
      <c r="B1" s="671" t="s">
        <v>261</v>
      </c>
      <c r="C1" s="496" t="s">
        <v>834</v>
      </c>
      <c r="D1" s="672" t="s">
        <v>119</v>
      </c>
      <c r="E1" s="332" t="s">
        <v>262</v>
      </c>
      <c r="F1" s="333">
        <v>144718126</v>
      </c>
      <c r="G1" s="10"/>
      <c r="H1" s="10"/>
      <c r="I1" s="10"/>
      <c r="J1" s="10"/>
      <c r="K1" s="10"/>
      <c r="L1" s="10"/>
      <c r="M1" s="10"/>
      <c r="O1" s="10"/>
      <c r="P1" s="10"/>
      <c r="R1" s="10"/>
      <c r="T1" s="10"/>
      <c r="X1" s="688"/>
    </row>
    <row r="2" spans="1:24" x14ac:dyDescent="0.2">
      <c r="K2" s="19"/>
    </row>
    <row r="3" spans="1:24" s="675" customFormat="1" ht="25.5" x14ac:dyDescent="0.2">
      <c r="A3" s="674"/>
      <c r="B3" s="674" t="s">
        <v>120</v>
      </c>
      <c r="C3" s="14" t="s">
        <v>263</v>
      </c>
      <c r="D3" s="14" t="s">
        <v>173</v>
      </c>
      <c r="E3" s="14" t="s">
        <v>9</v>
      </c>
      <c r="F3" s="14" t="s">
        <v>267</v>
      </c>
      <c r="G3" s="14" t="s">
        <v>204</v>
      </c>
      <c r="H3" s="14" t="s">
        <v>837</v>
      </c>
      <c r="I3" s="14" t="s">
        <v>838</v>
      </c>
      <c r="J3" s="14" t="s">
        <v>179</v>
      </c>
      <c r="K3" s="14" t="s">
        <v>191</v>
      </c>
      <c r="L3" s="14" t="s">
        <v>236</v>
      </c>
      <c r="M3" s="14" t="s">
        <v>183</v>
      </c>
      <c r="N3" s="14" t="s">
        <v>188</v>
      </c>
      <c r="O3" s="14" t="s">
        <v>185</v>
      </c>
      <c r="P3" s="14" t="s">
        <v>703</v>
      </c>
      <c r="Q3" s="14" t="s">
        <v>270</v>
      </c>
      <c r="R3" s="14" t="s">
        <v>632</v>
      </c>
      <c r="S3" s="14" t="s">
        <v>248</v>
      </c>
      <c r="T3" s="14" t="s">
        <v>272</v>
      </c>
      <c r="U3" s="14" t="s">
        <v>679</v>
      </c>
      <c r="V3" s="950"/>
      <c r="X3" s="690"/>
    </row>
    <row r="4" spans="1:24" s="675" customFormat="1" x14ac:dyDescent="0.2">
      <c r="A4" s="674"/>
      <c r="B4" s="67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950"/>
      <c r="W4" s="691">
        <f>SUM(W5:W11)</f>
        <v>24808146</v>
      </c>
      <c r="X4" s="690"/>
    </row>
    <row r="5" spans="1:24" s="692" customFormat="1" x14ac:dyDescent="0.2">
      <c r="B5" s="693" t="s">
        <v>274</v>
      </c>
      <c r="C5" s="935">
        <v>10585228</v>
      </c>
      <c r="D5" s="935">
        <v>8280475</v>
      </c>
      <c r="E5" s="935">
        <v>0</v>
      </c>
      <c r="F5" s="935">
        <v>0</v>
      </c>
      <c r="G5" s="935">
        <v>0</v>
      </c>
      <c r="H5" s="935">
        <v>0</v>
      </c>
      <c r="I5" s="935">
        <v>0</v>
      </c>
      <c r="J5" s="935">
        <v>0</v>
      </c>
      <c r="K5" s="935">
        <v>0</v>
      </c>
      <c r="L5" s="935">
        <v>0</v>
      </c>
      <c r="M5" s="935">
        <v>0</v>
      </c>
      <c r="N5" s="935">
        <v>0</v>
      </c>
      <c r="O5" s="935">
        <v>0</v>
      </c>
      <c r="P5" s="935">
        <v>0</v>
      </c>
      <c r="Q5" s="935">
        <v>0</v>
      </c>
      <c r="R5" s="935">
        <v>0</v>
      </c>
      <c r="S5" s="935">
        <v>0</v>
      </c>
      <c r="T5" s="935">
        <v>0</v>
      </c>
      <c r="U5" s="935" t="str">
        <f t="shared" ref="U5:U31" si="0">B5</f>
        <v>Property Taxes</v>
      </c>
      <c r="V5" s="951">
        <f t="shared" ref="V5:V31" si="1">SUM(C5:T5)</f>
        <v>18865703</v>
      </c>
      <c r="W5" s="694">
        <f>V5-D5</f>
        <v>10585228</v>
      </c>
      <c r="X5" s="693" t="s">
        <v>275</v>
      </c>
    </row>
    <row r="6" spans="1:24" s="692" customFormat="1" ht="25.5" hidden="1" x14ac:dyDescent="0.2">
      <c r="B6" s="693" t="s">
        <v>474</v>
      </c>
      <c r="C6" s="935">
        <v>0</v>
      </c>
      <c r="D6" s="935">
        <v>0</v>
      </c>
      <c r="E6" s="935">
        <v>0</v>
      </c>
      <c r="F6" s="935">
        <v>0</v>
      </c>
      <c r="G6" s="935">
        <v>0</v>
      </c>
      <c r="H6" s="935">
        <v>0</v>
      </c>
      <c r="I6" s="935">
        <v>0</v>
      </c>
      <c r="J6" s="935">
        <v>0</v>
      </c>
      <c r="K6" s="935">
        <v>0</v>
      </c>
      <c r="L6" s="935">
        <v>0</v>
      </c>
      <c r="M6" s="935">
        <v>0</v>
      </c>
      <c r="N6" s="935">
        <v>0</v>
      </c>
      <c r="O6" s="935">
        <v>0</v>
      </c>
      <c r="P6" s="935">
        <v>0</v>
      </c>
      <c r="Q6" s="935">
        <v>0</v>
      </c>
      <c r="R6" s="935">
        <v>0</v>
      </c>
      <c r="S6" s="935">
        <v>0</v>
      </c>
      <c r="T6" s="935">
        <v>0</v>
      </c>
      <c r="U6" s="935" t="str">
        <f t="shared" si="0"/>
        <v>Net Proceeds from Mines</v>
      </c>
      <c r="V6" s="951">
        <f t="shared" si="1"/>
        <v>0</v>
      </c>
      <c r="W6" s="694">
        <f t="shared" ref="W6:W10" si="2">V6</f>
        <v>0</v>
      </c>
      <c r="X6" s="693" t="s">
        <v>473</v>
      </c>
    </row>
    <row r="7" spans="1:24" s="695" customFormat="1" x14ac:dyDescent="0.2">
      <c r="B7" s="695" t="s">
        <v>276</v>
      </c>
      <c r="C7" s="935">
        <v>11871124</v>
      </c>
      <c r="D7" s="935">
        <v>0</v>
      </c>
      <c r="E7" s="935">
        <v>0</v>
      </c>
      <c r="F7" s="935">
        <v>0</v>
      </c>
      <c r="G7" s="935">
        <v>0</v>
      </c>
      <c r="H7" s="935">
        <v>0</v>
      </c>
      <c r="I7" s="935">
        <v>0</v>
      </c>
      <c r="J7" s="935">
        <v>0</v>
      </c>
      <c r="K7" s="935">
        <v>0</v>
      </c>
      <c r="L7" s="935">
        <v>0</v>
      </c>
      <c r="M7" s="935">
        <v>0</v>
      </c>
      <c r="N7" s="935">
        <v>0</v>
      </c>
      <c r="O7" s="935">
        <v>0</v>
      </c>
      <c r="P7" s="935">
        <v>0</v>
      </c>
      <c r="Q7" s="935">
        <v>0</v>
      </c>
      <c r="R7" s="935">
        <v>0</v>
      </c>
      <c r="S7" s="935">
        <v>0</v>
      </c>
      <c r="T7" s="935">
        <v>0</v>
      </c>
      <c r="U7" s="935" t="str">
        <f t="shared" si="0"/>
        <v>School Support Taxes</v>
      </c>
      <c r="V7" s="951">
        <f t="shared" si="1"/>
        <v>11871124</v>
      </c>
      <c r="W7" s="694">
        <f t="shared" si="2"/>
        <v>11871124</v>
      </c>
      <c r="X7" s="696" t="s">
        <v>275</v>
      </c>
    </row>
    <row r="8" spans="1:24" s="695" customFormat="1" hidden="1" x14ac:dyDescent="0.2">
      <c r="B8" s="695" t="s">
        <v>551</v>
      </c>
      <c r="C8" s="935">
        <v>0</v>
      </c>
      <c r="D8" s="935">
        <v>0</v>
      </c>
      <c r="E8" s="935">
        <v>0</v>
      </c>
      <c r="F8" s="935">
        <v>0</v>
      </c>
      <c r="G8" s="935">
        <v>0</v>
      </c>
      <c r="H8" s="935">
        <v>0</v>
      </c>
      <c r="I8" s="935">
        <v>0</v>
      </c>
      <c r="J8" s="935">
        <v>0</v>
      </c>
      <c r="K8" s="935">
        <v>0</v>
      </c>
      <c r="L8" s="935">
        <v>0</v>
      </c>
      <c r="M8" s="935">
        <v>0</v>
      </c>
      <c r="N8" s="935">
        <v>0</v>
      </c>
      <c r="O8" s="935">
        <v>0</v>
      </c>
      <c r="P8" s="935">
        <v>0</v>
      </c>
      <c r="Q8" s="935">
        <v>0</v>
      </c>
      <c r="R8" s="935">
        <v>0</v>
      </c>
      <c r="S8" s="935">
        <v>0</v>
      </c>
      <c r="T8" s="935">
        <v>0</v>
      </c>
      <c r="U8" s="935" t="str">
        <f t="shared" si="0"/>
        <v>Real Estate Transfer Tax</v>
      </c>
      <c r="V8" s="951">
        <f t="shared" si="1"/>
        <v>0</v>
      </c>
      <c r="W8" s="694"/>
      <c r="X8" s="696"/>
    </row>
    <row r="9" spans="1:24" s="695" customFormat="1" hidden="1" x14ac:dyDescent="0.2">
      <c r="B9" s="695" t="s">
        <v>550</v>
      </c>
      <c r="C9" s="935">
        <v>0</v>
      </c>
      <c r="D9" s="935">
        <v>0</v>
      </c>
      <c r="E9" s="935">
        <v>0</v>
      </c>
      <c r="F9" s="935">
        <v>0</v>
      </c>
      <c r="G9" s="935">
        <v>0</v>
      </c>
      <c r="H9" s="935">
        <v>0</v>
      </c>
      <c r="I9" s="935">
        <v>0</v>
      </c>
      <c r="J9" s="935">
        <v>0</v>
      </c>
      <c r="K9" s="935">
        <v>0</v>
      </c>
      <c r="L9" s="935">
        <v>0</v>
      </c>
      <c r="M9" s="935">
        <v>0</v>
      </c>
      <c r="N9" s="935">
        <v>0</v>
      </c>
      <c r="O9" s="935">
        <v>0</v>
      </c>
      <c r="P9" s="935">
        <v>0</v>
      </c>
      <c r="Q9" s="935">
        <v>0</v>
      </c>
      <c r="R9" s="935">
        <v>0</v>
      </c>
      <c r="S9" s="935">
        <v>0</v>
      </c>
      <c r="T9" s="935">
        <v>0</v>
      </c>
      <c r="U9" s="935" t="str">
        <f t="shared" si="0"/>
        <v>Room Tax</v>
      </c>
      <c r="V9" s="951">
        <f t="shared" si="1"/>
        <v>0</v>
      </c>
      <c r="W9" s="694">
        <f t="shared" si="2"/>
        <v>0</v>
      </c>
      <c r="X9" s="696" t="s">
        <v>275</v>
      </c>
    </row>
    <row r="10" spans="1:24" s="695" customFormat="1" x14ac:dyDescent="0.2">
      <c r="B10" s="695" t="s">
        <v>277</v>
      </c>
      <c r="C10" s="935">
        <v>150000</v>
      </c>
      <c r="D10" s="935">
        <v>0</v>
      </c>
      <c r="E10" s="935">
        <v>0</v>
      </c>
      <c r="F10" s="935">
        <v>0</v>
      </c>
      <c r="G10" s="935">
        <v>0</v>
      </c>
      <c r="H10" s="935">
        <v>0</v>
      </c>
      <c r="I10" s="935">
        <v>0</v>
      </c>
      <c r="J10" s="935">
        <v>0</v>
      </c>
      <c r="K10" s="935">
        <v>0</v>
      </c>
      <c r="L10" s="935">
        <v>0</v>
      </c>
      <c r="M10" s="935">
        <v>0</v>
      </c>
      <c r="N10" s="935">
        <v>0</v>
      </c>
      <c r="O10" s="935">
        <v>0</v>
      </c>
      <c r="P10" s="935">
        <v>0</v>
      </c>
      <c r="Q10" s="935">
        <v>0</v>
      </c>
      <c r="R10" s="935">
        <v>0</v>
      </c>
      <c r="S10" s="935">
        <v>0</v>
      </c>
      <c r="T10" s="935">
        <v>0</v>
      </c>
      <c r="U10" s="935" t="str">
        <f t="shared" si="0"/>
        <v>Franchise Taxes</v>
      </c>
      <c r="V10" s="951">
        <f t="shared" si="1"/>
        <v>150000</v>
      </c>
      <c r="W10" s="694">
        <f t="shared" si="2"/>
        <v>150000</v>
      </c>
      <c r="X10" s="696" t="s">
        <v>275</v>
      </c>
    </row>
    <row r="11" spans="1:24" s="695" customFormat="1" x14ac:dyDescent="0.2">
      <c r="B11" s="695" t="s">
        <v>278</v>
      </c>
      <c r="C11" s="935">
        <v>2201794</v>
      </c>
      <c r="D11" s="935">
        <v>0</v>
      </c>
      <c r="E11" s="935">
        <v>0</v>
      </c>
      <c r="F11" s="935">
        <v>0</v>
      </c>
      <c r="G11" s="935">
        <v>0</v>
      </c>
      <c r="H11" s="935">
        <v>0</v>
      </c>
      <c r="I11" s="935">
        <v>0</v>
      </c>
      <c r="J11" s="935">
        <v>0</v>
      </c>
      <c r="K11" s="935">
        <v>0</v>
      </c>
      <c r="L11" s="935">
        <v>0</v>
      </c>
      <c r="M11" s="935">
        <v>0</v>
      </c>
      <c r="N11" s="935">
        <v>798000</v>
      </c>
      <c r="O11" s="935">
        <v>0</v>
      </c>
      <c r="P11" s="935">
        <v>0</v>
      </c>
      <c r="Q11" s="935">
        <v>0</v>
      </c>
      <c r="R11" s="935">
        <v>0</v>
      </c>
      <c r="S11" s="935">
        <v>0</v>
      </c>
      <c r="T11" s="935">
        <v>0</v>
      </c>
      <c r="U11" s="935" t="str">
        <f t="shared" si="0"/>
        <v>Governmental Services Tax</v>
      </c>
      <c r="V11" s="951">
        <f t="shared" si="1"/>
        <v>2999794</v>
      </c>
      <c r="W11" s="694">
        <f>V11-N11</f>
        <v>2201794</v>
      </c>
      <c r="X11" s="696" t="s">
        <v>279</v>
      </c>
    </row>
    <row r="12" spans="1:24" s="695" customFormat="1" x14ac:dyDescent="0.2">
      <c r="B12" s="695" t="s">
        <v>338</v>
      </c>
      <c r="C12" s="935">
        <v>20000</v>
      </c>
      <c r="D12" s="935">
        <v>0</v>
      </c>
      <c r="E12" s="935">
        <v>0</v>
      </c>
      <c r="F12" s="935">
        <v>0</v>
      </c>
      <c r="G12" s="935">
        <v>0</v>
      </c>
      <c r="H12" s="935">
        <v>0</v>
      </c>
      <c r="I12" s="935">
        <v>0</v>
      </c>
      <c r="J12" s="935">
        <v>0</v>
      </c>
      <c r="K12" s="935">
        <v>0</v>
      </c>
      <c r="L12" s="935">
        <v>0</v>
      </c>
      <c r="M12" s="935">
        <v>0</v>
      </c>
      <c r="N12" s="935">
        <v>0</v>
      </c>
      <c r="O12" s="935">
        <v>0</v>
      </c>
      <c r="P12" s="935">
        <v>0</v>
      </c>
      <c r="Q12" s="935">
        <v>0</v>
      </c>
      <c r="R12" s="935">
        <v>0</v>
      </c>
      <c r="S12" s="935">
        <v>0</v>
      </c>
      <c r="T12" s="935">
        <v>0</v>
      </c>
      <c r="U12" s="935" t="str">
        <f t="shared" si="0"/>
        <v>Other Taxes</v>
      </c>
      <c r="V12" s="951">
        <f t="shared" si="1"/>
        <v>20000</v>
      </c>
      <c r="X12" s="696"/>
    </row>
    <row r="13" spans="1:24" s="695" customFormat="1" hidden="1" x14ac:dyDescent="0.2">
      <c r="B13" s="695" t="s">
        <v>281</v>
      </c>
      <c r="C13" s="935">
        <v>0</v>
      </c>
      <c r="D13" s="935">
        <v>0</v>
      </c>
      <c r="E13" s="935">
        <v>0</v>
      </c>
      <c r="F13" s="935">
        <v>0</v>
      </c>
      <c r="G13" s="935">
        <v>0</v>
      </c>
      <c r="H13" s="935">
        <v>0</v>
      </c>
      <c r="I13" s="935">
        <v>0</v>
      </c>
      <c r="J13" s="935">
        <v>0</v>
      </c>
      <c r="K13" s="935">
        <v>0</v>
      </c>
      <c r="L13" s="935">
        <v>0</v>
      </c>
      <c r="M13" s="935">
        <v>0</v>
      </c>
      <c r="N13" s="935">
        <v>0</v>
      </c>
      <c r="O13" s="935">
        <v>0</v>
      </c>
      <c r="P13" s="935">
        <v>0</v>
      </c>
      <c r="Q13" s="935">
        <v>0</v>
      </c>
      <c r="R13" s="935">
        <v>0</v>
      </c>
      <c r="S13" s="935">
        <v>0</v>
      </c>
      <c r="T13" s="935">
        <v>0</v>
      </c>
      <c r="U13" s="935" t="str">
        <f t="shared" si="0"/>
        <v>Boat Registration</v>
      </c>
      <c r="V13" s="951">
        <f t="shared" si="1"/>
        <v>0</v>
      </c>
      <c r="X13" s="696"/>
    </row>
    <row r="14" spans="1:24" s="695" customFormat="1" x14ac:dyDescent="0.2">
      <c r="B14" s="695" t="s">
        <v>227</v>
      </c>
      <c r="C14" s="935">
        <v>0</v>
      </c>
      <c r="D14" s="935">
        <v>0</v>
      </c>
      <c r="E14" s="935">
        <v>0</v>
      </c>
      <c r="F14" s="935">
        <v>0</v>
      </c>
      <c r="G14" s="935">
        <v>0</v>
      </c>
      <c r="H14" s="935">
        <v>0</v>
      </c>
      <c r="I14" s="935">
        <v>0</v>
      </c>
      <c r="J14" s="935">
        <v>0</v>
      </c>
      <c r="K14" s="935">
        <v>0</v>
      </c>
      <c r="L14" s="935">
        <v>0</v>
      </c>
      <c r="M14" s="935">
        <v>0</v>
      </c>
      <c r="N14" s="935">
        <v>0</v>
      </c>
      <c r="O14" s="935">
        <v>0</v>
      </c>
      <c r="P14" s="935">
        <v>427000</v>
      </c>
      <c r="Q14" s="935">
        <v>0</v>
      </c>
      <c r="R14" s="935">
        <v>0</v>
      </c>
      <c r="S14" s="935">
        <v>0</v>
      </c>
      <c r="T14" s="935">
        <v>0</v>
      </c>
      <c r="U14" s="935" t="str">
        <f t="shared" si="0"/>
        <v>Residential Construction Tax</v>
      </c>
      <c r="V14" s="951">
        <f t="shared" si="1"/>
        <v>427000</v>
      </c>
      <c r="X14" s="696"/>
    </row>
    <row r="15" spans="1:24" s="695" customFormat="1" hidden="1" x14ac:dyDescent="0.2">
      <c r="B15" s="695" t="s">
        <v>282</v>
      </c>
      <c r="C15" s="935">
        <v>0</v>
      </c>
      <c r="D15" s="935">
        <v>0</v>
      </c>
      <c r="E15" s="935">
        <v>0</v>
      </c>
      <c r="F15" s="935">
        <v>0</v>
      </c>
      <c r="G15" s="935">
        <v>0</v>
      </c>
      <c r="H15" s="935">
        <v>0</v>
      </c>
      <c r="I15" s="935">
        <v>0</v>
      </c>
      <c r="J15" s="935">
        <v>0</v>
      </c>
      <c r="K15" s="935">
        <v>0</v>
      </c>
      <c r="L15" s="935">
        <v>0</v>
      </c>
      <c r="M15" s="935">
        <v>0</v>
      </c>
      <c r="N15" s="935">
        <v>0</v>
      </c>
      <c r="O15" s="935">
        <v>0</v>
      </c>
      <c r="P15" s="935">
        <v>0</v>
      </c>
      <c r="Q15" s="935">
        <v>0</v>
      </c>
      <c r="R15" s="935">
        <v>0</v>
      </c>
      <c r="S15" s="935">
        <v>0</v>
      </c>
      <c r="T15" s="935">
        <v>0</v>
      </c>
      <c r="U15" s="935" t="str">
        <f t="shared" si="0"/>
        <v>Tuition</v>
      </c>
      <c r="V15" s="951">
        <f t="shared" si="1"/>
        <v>0</v>
      </c>
      <c r="X15" s="696"/>
    </row>
    <row r="16" spans="1:24" s="695" customFormat="1" hidden="1" x14ac:dyDescent="0.2">
      <c r="B16" s="695" t="s">
        <v>143</v>
      </c>
      <c r="C16" s="935">
        <v>0</v>
      </c>
      <c r="D16" s="935">
        <v>0</v>
      </c>
      <c r="E16" s="935">
        <v>0</v>
      </c>
      <c r="F16" s="935">
        <v>0</v>
      </c>
      <c r="G16" s="935">
        <v>0</v>
      </c>
      <c r="H16" s="935">
        <v>0</v>
      </c>
      <c r="I16" s="935">
        <v>0</v>
      </c>
      <c r="J16" s="935">
        <v>0</v>
      </c>
      <c r="K16" s="935">
        <v>0</v>
      </c>
      <c r="L16" s="935">
        <v>0</v>
      </c>
      <c r="M16" s="935">
        <v>0</v>
      </c>
      <c r="N16" s="935">
        <v>0</v>
      </c>
      <c r="O16" s="935">
        <v>0</v>
      </c>
      <c r="P16" s="935">
        <v>0</v>
      </c>
      <c r="Q16" s="935">
        <v>0</v>
      </c>
      <c r="R16" s="935">
        <v>0</v>
      </c>
      <c r="S16" s="935">
        <v>0</v>
      </c>
      <c r="T16" s="935">
        <v>0</v>
      </c>
      <c r="U16" s="935" t="str">
        <f t="shared" si="0"/>
        <v>Summer School</v>
      </c>
      <c r="V16" s="951">
        <f t="shared" si="1"/>
        <v>0</v>
      </c>
      <c r="X16" s="696"/>
    </row>
    <row r="17" spans="1:24" s="695" customFormat="1" hidden="1" x14ac:dyDescent="0.2">
      <c r="B17" s="695" t="s">
        <v>283</v>
      </c>
      <c r="C17" s="935">
        <v>0</v>
      </c>
      <c r="D17" s="935">
        <v>0</v>
      </c>
      <c r="E17" s="935">
        <v>0</v>
      </c>
      <c r="F17" s="935">
        <v>0</v>
      </c>
      <c r="G17" s="935">
        <v>0</v>
      </c>
      <c r="H17" s="935">
        <v>0</v>
      </c>
      <c r="I17" s="935">
        <v>0</v>
      </c>
      <c r="J17" s="935">
        <v>0</v>
      </c>
      <c r="K17" s="935">
        <v>0</v>
      </c>
      <c r="L17" s="935">
        <v>0</v>
      </c>
      <c r="M17" s="935">
        <v>0</v>
      </c>
      <c r="N17" s="935">
        <v>0</v>
      </c>
      <c r="O17" s="935">
        <v>0</v>
      </c>
      <c r="P17" s="935">
        <v>0</v>
      </c>
      <c r="Q17" s="935">
        <v>0</v>
      </c>
      <c r="R17" s="935">
        <v>0</v>
      </c>
      <c r="S17" s="935">
        <v>0</v>
      </c>
      <c r="T17" s="935">
        <v>0</v>
      </c>
      <c r="U17" s="935" t="str">
        <f t="shared" si="0"/>
        <v>Transportation Fees</v>
      </c>
      <c r="V17" s="951">
        <f t="shared" si="1"/>
        <v>0</v>
      </c>
      <c r="X17" s="696"/>
    </row>
    <row r="18" spans="1:24" s="695" customFormat="1" x14ac:dyDescent="0.2">
      <c r="B18" s="695" t="s">
        <v>284</v>
      </c>
      <c r="C18" s="935">
        <v>15000</v>
      </c>
      <c r="D18" s="935">
        <v>10000</v>
      </c>
      <c r="E18" s="935">
        <v>0</v>
      </c>
      <c r="F18" s="935">
        <v>0</v>
      </c>
      <c r="G18" s="935">
        <v>0</v>
      </c>
      <c r="H18" s="935">
        <v>0</v>
      </c>
      <c r="I18" s="935">
        <v>0</v>
      </c>
      <c r="J18" s="935">
        <v>0</v>
      </c>
      <c r="K18" s="935">
        <v>0</v>
      </c>
      <c r="L18" s="935">
        <v>0</v>
      </c>
      <c r="M18" s="935">
        <v>0</v>
      </c>
      <c r="N18" s="935">
        <v>0</v>
      </c>
      <c r="O18" s="935">
        <v>0</v>
      </c>
      <c r="P18" s="935">
        <v>0</v>
      </c>
      <c r="Q18" s="935">
        <v>10000</v>
      </c>
      <c r="R18" s="935">
        <v>0</v>
      </c>
      <c r="S18" s="935">
        <v>0</v>
      </c>
      <c r="T18" s="935">
        <v>0</v>
      </c>
      <c r="U18" s="935" t="str">
        <f t="shared" si="0"/>
        <v>Earnings on Investments</v>
      </c>
      <c r="V18" s="951">
        <f t="shared" si="1"/>
        <v>35000</v>
      </c>
      <c r="X18" s="696"/>
    </row>
    <row r="19" spans="1:24" s="695" customFormat="1" hidden="1" x14ac:dyDescent="0.2">
      <c r="B19" s="695" t="s">
        <v>651</v>
      </c>
      <c r="C19" s="935">
        <v>0</v>
      </c>
      <c r="D19" s="935">
        <v>0</v>
      </c>
      <c r="E19" s="935">
        <v>0</v>
      </c>
      <c r="F19" s="935">
        <v>0</v>
      </c>
      <c r="G19" s="935">
        <v>0</v>
      </c>
      <c r="H19" s="935">
        <v>0</v>
      </c>
      <c r="I19" s="935">
        <v>0</v>
      </c>
      <c r="J19" s="935">
        <v>0</v>
      </c>
      <c r="K19" s="935">
        <v>0</v>
      </c>
      <c r="L19" s="935">
        <v>0</v>
      </c>
      <c r="M19" s="935">
        <v>0</v>
      </c>
      <c r="N19" s="935">
        <v>0</v>
      </c>
      <c r="O19" s="935">
        <v>0</v>
      </c>
      <c r="P19" s="935">
        <v>0</v>
      </c>
      <c r="Q19" s="935">
        <v>0</v>
      </c>
      <c r="R19" s="935">
        <v>0</v>
      </c>
      <c r="S19" s="935">
        <v>0</v>
      </c>
      <c r="T19" s="935">
        <v>0</v>
      </c>
      <c r="U19" s="935" t="str">
        <f t="shared" si="0"/>
        <v>Interest</v>
      </c>
      <c r="V19" s="951">
        <f t="shared" si="1"/>
        <v>0</v>
      </c>
      <c r="X19" s="696"/>
    </row>
    <row r="20" spans="1:24" s="695" customFormat="1" hidden="1" x14ac:dyDescent="0.2">
      <c r="B20" s="695" t="s">
        <v>652</v>
      </c>
      <c r="C20" s="935">
        <v>0</v>
      </c>
      <c r="D20" s="935">
        <v>0</v>
      </c>
      <c r="E20" s="935">
        <v>0</v>
      </c>
      <c r="F20" s="935">
        <v>0</v>
      </c>
      <c r="G20" s="935">
        <v>0</v>
      </c>
      <c r="H20" s="935">
        <v>0</v>
      </c>
      <c r="I20" s="935">
        <v>0</v>
      </c>
      <c r="J20" s="935">
        <v>0</v>
      </c>
      <c r="K20" s="935">
        <v>0</v>
      </c>
      <c r="L20" s="935">
        <v>0</v>
      </c>
      <c r="M20" s="935">
        <v>0</v>
      </c>
      <c r="N20" s="935">
        <v>0</v>
      </c>
      <c r="O20" s="935">
        <v>0</v>
      </c>
      <c r="P20" s="935">
        <v>0</v>
      </c>
      <c r="Q20" s="935">
        <v>0</v>
      </c>
      <c r="R20" s="935">
        <v>0</v>
      </c>
      <c r="S20" s="935">
        <v>0</v>
      </c>
      <c r="T20" s="935">
        <v>0</v>
      </c>
      <c r="U20" s="935" t="str">
        <f t="shared" si="0"/>
        <v>Dividends</v>
      </c>
      <c r="V20" s="951">
        <f t="shared" si="1"/>
        <v>0</v>
      </c>
      <c r="X20" s="696"/>
    </row>
    <row r="21" spans="1:24" s="695" customFormat="1" hidden="1" x14ac:dyDescent="0.2">
      <c r="B21" s="695" t="s">
        <v>653</v>
      </c>
      <c r="C21" s="935">
        <v>0</v>
      </c>
      <c r="D21" s="935">
        <v>0</v>
      </c>
      <c r="E21" s="935">
        <v>0</v>
      </c>
      <c r="F21" s="935">
        <v>0</v>
      </c>
      <c r="G21" s="935">
        <v>0</v>
      </c>
      <c r="H21" s="935">
        <v>0</v>
      </c>
      <c r="I21" s="935">
        <v>0</v>
      </c>
      <c r="J21" s="935">
        <v>0</v>
      </c>
      <c r="K21" s="935">
        <v>0</v>
      </c>
      <c r="L21" s="935">
        <v>0</v>
      </c>
      <c r="M21" s="935">
        <v>0</v>
      </c>
      <c r="N21" s="935">
        <v>0</v>
      </c>
      <c r="O21" s="935">
        <v>0</v>
      </c>
      <c r="P21" s="935">
        <v>0</v>
      </c>
      <c r="Q21" s="935">
        <v>0</v>
      </c>
      <c r="R21" s="935">
        <v>0</v>
      </c>
      <c r="S21" s="935">
        <v>0</v>
      </c>
      <c r="T21" s="935">
        <v>0</v>
      </c>
      <c r="U21" s="935" t="str">
        <f t="shared" si="0"/>
        <v>Unrealized Gain/Losses</v>
      </c>
      <c r="V21" s="951">
        <f t="shared" si="1"/>
        <v>0</v>
      </c>
      <c r="X21" s="696"/>
    </row>
    <row r="22" spans="1:24" s="695" customFormat="1" hidden="1" x14ac:dyDescent="0.2">
      <c r="B22" s="695" t="s">
        <v>654</v>
      </c>
      <c r="C22" s="935">
        <v>0</v>
      </c>
      <c r="D22" s="935">
        <v>0</v>
      </c>
      <c r="E22" s="935">
        <v>0</v>
      </c>
      <c r="F22" s="935">
        <v>0</v>
      </c>
      <c r="G22" s="935">
        <v>0</v>
      </c>
      <c r="H22" s="935">
        <v>0</v>
      </c>
      <c r="I22" s="935">
        <v>0</v>
      </c>
      <c r="J22" s="935">
        <v>0</v>
      </c>
      <c r="K22" s="935">
        <v>0</v>
      </c>
      <c r="L22" s="935">
        <v>0</v>
      </c>
      <c r="M22" s="935">
        <v>0</v>
      </c>
      <c r="N22" s="935">
        <v>0</v>
      </c>
      <c r="O22" s="935">
        <v>0</v>
      </c>
      <c r="P22" s="935">
        <v>0</v>
      </c>
      <c r="Q22" s="935">
        <v>0</v>
      </c>
      <c r="R22" s="935">
        <v>0</v>
      </c>
      <c r="S22" s="935">
        <v>0</v>
      </c>
      <c r="T22" s="935">
        <v>0</v>
      </c>
      <c r="U22" s="935" t="str">
        <f t="shared" si="0"/>
        <v>After School Program Fees</v>
      </c>
      <c r="V22" s="951">
        <f t="shared" si="1"/>
        <v>0</v>
      </c>
      <c r="X22" s="696"/>
    </row>
    <row r="23" spans="1:24" s="695" customFormat="1" x14ac:dyDescent="0.2">
      <c r="B23" s="695" t="s">
        <v>552</v>
      </c>
      <c r="C23" s="935">
        <v>4000</v>
      </c>
      <c r="D23" s="935">
        <v>0</v>
      </c>
      <c r="E23" s="935">
        <v>0</v>
      </c>
      <c r="F23" s="935">
        <v>0</v>
      </c>
      <c r="G23" s="935">
        <v>0</v>
      </c>
      <c r="H23" s="935">
        <v>0</v>
      </c>
      <c r="I23" s="935">
        <v>0</v>
      </c>
      <c r="J23" s="935">
        <v>0</v>
      </c>
      <c r="K23" s="935">
        <v>0</v>
      </c>
      <c r="L23" s="935">
        <v>0</v>
      </c>
      <c r="M23" s="935">
        <v>0</v>
      </c>
      <c r="N23" s="935">
        <v>0</v>
      </c>
      <c r="O23" s="935">
        <v>0</v>
      </c>
      <c r="P23" s="935">
        <v>0</v>
      </c>
      <c r="Q23" s="935">
        <v>0</v>
      </c>
      <c r="R23" s="935">
        <v>0</v>
      </c>
      <c r="S23" s="935">
        <v>0</v>
      </c>
      <c r="T23" s="935">
        <v>0</v>
      </c>
      <c r="U23" s="935" t="str">
        <f t="shared" si="0"/>
        <v>Direct District Activities Revenue</v>
      </c>
      <c r="V23" s="951">
        <f t="shared" si="1"/>
        <v>4000</v>
      </c>
      <c r="X23" s="696"/>
    </row>
    <row r="24" spans="1:24" s="695" customFormat="1" x14ac:dyDescent="0.2">
      <c r="B24" s="695" t="s">
        <v>286</v>
      </c>
      <c r="C24" s="935">
        <v>0</v>
      </c>
      <c r="D24" s="935">
        <v>0</v>
      </c>
      <c r="E24" s="935">
        <v>0</v>
      </c>
      <c r="F24" s="935">
        <v>0</v>
      </c>
      <c r="G24" s="935">
        <v>0</v>
      </c>
      <c r="H24" s="935">
        <v>0</v>
      </c>
      <c r="I24" s="935">
        <v>650000</v>
      </c>
      <c r="J24" s="935">
        <v>0</v>
      </c>
      <c r="K24" s="935">
        <v>0</v>
      </c>
      <c r="L24" s="935">
        <v>0</v>
      </c>
      <c r="M24" s="935">
        <v>0</v>
      </c>
      <c r="N24" s="935">
        <v>0</v>
      </c>
      <c r="O24" s="935">
        <v>0</v>
      </c>
      <c r="P24" s="935">
        <v>0</v>
      </c>
      <c r="Q24" s="935">
        <v>0</v>
      </c>
      <c r="R24" s="935">
        <v>0</v>
      </c>
      <c r="S24" s="935">
        <v>0</v>
      </c>
      <c r="T24" s="935">
        <v>0</v>
      </c>
      <c r="U24" s="935" t="str">
        <f t="shared" si="0"/>
        <v>Daily Sales - Food Services</v>
      </c>
      <c r="V24" s="951">
        <f t="shared" si="1"/>
        <v>650000</v>
      </c>
      <c r="X24" s="696"/>
    </row>
    <row r="25" spans="1:24" s="695" customFormat="1" x14ac:dyDescent="0.2">
      <c r="A25" s="695">
        <v>1900</v>
      </c>
      <c r="B25" s="695" t="s">
        <v>280</v>
      </c>
      <c r="C25" s="935">
        <v>20000</v>
      </c>
      <c r="D25" s="935">
        <v>0</v>
      </c>
      <c r="E25" s="935">
        <v>0</v>
      </c>
      <c r="F25" s="935">
        <v>0</v>
      </c>
      <c r="G25" s="935">
        <v>0</v>
      </c>
      <c r="H25" s="935">
        <v>0</v>
      </c>
      <c r="I25" s="935">
        <v>0</v>
      </c>
      <c r="J25" s="935">
        <v>0</v>
      </c>
      <c r="K25" s="935">
        <v>0</v>
      </c>
      <c r="L25" s="935">
        <v>0</v>
      </c>
      <c r="M25" s="935">
        <v>0</v>
      </c>
      <c r="N25" s="935">
        <v>0</v>
      </c>
      <c r="O25" s="935">
        <v>0</v>
      </c>
      <c r="P25" s="935">
        <v>0</v>
      </c>
      <c r="Q25" s="935">
        <v>580000</v>
      </c>
      <c r="R25" s="935">
        <v>155000</v>
      </c>
      <c r="S25" s="935">
        <v>0</v>
      </c>
      <c r="T25" s="935">
        <v>0</v>
      </c>
      <c r="U25" s="935" t="str">
        <f t="shared" si="0"/>
        <v>Other Revenues</v>
      </c>
      <c r="V25" s="951">
        <f t="shared" si="1"/>
        <v>755000</v>
      </c>
      <c r="X25" s="696"/>
    </row>
    <row r="26" spans="1:24" s="695" customFormat="1" hidden="1" x14ac:dyDescent="0.2">
      <c r="B26" s="695" t="s">
        <v>288</v>
      </c>
      <c r="C26" s="935">
        <v>0</v>
      </c>
      <c r="D26" s="935">
        <v>0</v>
      </c>
      <c r="E26" s="935">
        <v>0</v>
      </c>
      <c r="F26" s="935">
        <v>0</v>
      </c>
      <c r="G26" s="935">
        <v>0</v>
      </c>
      <c r="H26" s="935">
        <v>0</v>
      </c>
      <c r="I26" s="935">
        <v>0</v>
      </c>
      <c r="J26" s="935">
        <v>0</v>
      </c>
      <c r="K26" s="935">
        <v>0</v>
      </c>
      <c r="L26" s="935">
        <v>0</v>
      </c>
      <c r="M26" s="935">
        <v>0</v>
      </c>
      <c r="N26" s="935">
        <v>0</v>
      </c>
      <c r="O26" s="935">
        <v>0</v>
      </c>
      <c r="P26" s="935">
        <v>0</v>
      </c>
      <c r="Q26" s="935">
        <v>0</v>
      </c>
      <c r="R26" s="935">
        <v>0</v>
      </c>
      <c r="S26" s="935">
        <v>0</v>
      </c>
      <c r="T26" s="935">
        <v>0</v>
      </c>
      <c r="U26" s="935" t="str">
        <f t="shared" si="0"/>
        <v>Donations</v>
      </c>
      <c r="V26" s="951">
        <f t="shared" si="1"/>
        <v>0</v>
      </c>
      <c r="X26" s="696"/>
    </row>
    <row r="27" spans="1:24" s="695" customFormat="1" x14ac:dyDescent="0.2">
      <c r="B27" s="695" t="s">
        <v>287</v>
      </c>
      <c r="C27" s="935">
        <v>6000</v>
      </c>
      <c r="D27" s="935">
        <v>0</v>
      </c>
      <c r="E27" s="935">
        <v>0</v>
      </c>
      <c r="F27" s="935">
        <v>0</v>
      </c>
      <c r="G27" s="935">
        <v>0</v>
      </c>
      <c r="H27" s="935">
        <v>0</v>
      </c>
      <c r="I27" s="935">
        <v>0</v>
      </c>
      <c r="J27" s="935">
        <v>0</v>
      </c>
      <c r="K27" s="935">
        <v>0</v>
      </c>
      <c r="L27" s="935">
        <v>0</v>
      </c>
      <c r="M27" s="935">
        <v>0</v>
      </c>
      <c r="N27" s="935">
        <v>0</v>
      </c>
      <c r="O27" s="935">
        <v>9600</v>
      </c>
      <c r="P27" s="935">
        <v>0</v>
      </c>
      <c r="Q27" s="935">
        <v>0</v>
      </c>
      <c r="R27" s="935">
        <v>0</v>
      </c>
      <c r="S27" s="935">
        <v>0</v>
      </c>
      <c r="T27" s="935">
        <v>0</v>
      </c>
      <c r="U27" s="935" t="str">
        <f t="shared" si="0"/>
        <v>Rentals</v>
      </c>
      <c r="V27" s="951">
        <f t="shared" si="1"/>
        <v>15600</v>
      </c>
      <c r="X27" s="696"/>
    </row>
    <row r="28" spans="1:24" s="695" customFormat="1" x14ac:dyDescent="0.2">
      <c r="B28" s="695" t="s">
        <v>598</v>
      </c>
      <c r="C28" s="935">
        <v>0</v>
      </c>
      <c r="D28" s="935">
        <v>0</v>
      </c>
      <c r="E28" s="935">
        <v>0</v>
      </c>
      <c r="F28" s="935">
        <v>0</v>
      </c>
      <c r="G28" s="935">
        <v>0</v>
      </c>
      <c r="H28" s="935">
        <v>0</v>
      </c>
      <c r="I28" s="935">
        <v>25000</v>
      </c>
      <c r="J28" s="935">
        <v>0</v>
      </c>
      <c r="K28" s="935">
        <v>0</v>
      </c>
      <c r="L28" s="935">
        <v>0</v>
      </c>
      <c r="M28" s="935">
        <v>0</v>
      </c>
      <c r="N28" s="935">
        <v>0</v>
      </c>
      <c r="O28" s="935">
        <v>0</v>
      </c>
      <c r="P28" s="935">
        <v>0</v>
      </c>
      <c r="Q28" s="935">
        <v>0</v>
      </c>
      <c r="R28" s="935">
        <v>0</v>
      </c>
      <c r="S28" s="935">
        <v>0</v>
      </c>
      <c r="T28" s="935">
        <v>0</v>
      </c>
      <c r="U28" s="935" t="str">
        <f t="shared" si="0"/>
        <v>Services Provided Other Govts</v>
      </c>
      <c r="V28" s="951">
        <f t="shared" si="1"/>
        <v>25000</v>
      </c>
      <c r="X28" s="696"/>
    </row>
    <row r="29" spans="1:24" s="695" customFormat="1" hidden="1" x14ac:dyDescent="0.2">
      <c r="B29" s="695" t="s">
        <v>289</v>
      </c>
      <c r="C29" s="935">
        <v>0</v>
      </c>
      <c r="D29" s="935">
        <v>0</v>
      </c>
      <c r="E29" s="935">
        <v>0</v>
      </c>
      <c r="F29" s="935">
        <v>0</v>
      </c>
      <c r="G29" s="935">
        <v>0</v>
      </c>
      <c r="H29" s="935">
        <v>0</v>
      </c>
      <c r="I29" s="935">
        <v>0</v>
      </c>
      <c r="J29" s="935">
        <v>0</v>
      </c>
      <c r="K29" s="935">
        <v>0</v>
      </c>
      <c r="L29" s="935">
        <v>0</v>
      </c>
      <c r="M29" s="935">
        <v>0</v>
      </c>
      <c r="N29" s="935">
        <v>0</v>
      </c>
      <c r="O29" s="935">
        <v>0</v>
      </c>
      <c r="P29" s="935">
        <v>0</v>
      </c>
      <c r="Q29" s="935">
        <v>0</v>
      </c>
      <c r="R29" s="935">
        <v>0</v>
      </c>
      <c r="S29" s="935">
        <v>0</v>
      </c>
      <c r="T29" s="935">
        <v>0</v>
      </c>
      <c r="U29" s="935" t="str">
        <f t="shared" si="0"/>
        <v>Miscellaneous</v>
      </c>
      <c r="V29" s="951">
        <f t="shared" si="1"/>
        <v>0</v>
      </c>
      <c r="X29" s="696"/>
    </row>
    <row r="30" spans="1:24" s="695" customFormat="1" hidden="1" x14ac:dyDescent="0.2">
      <c r="B30" s="695" t="s">
        <v>656</v>
      </c>
      <c r="C30" s="935">
        <v>0</v>
      </c>
      <c r="D30" s="935">
        <v>0</v>
      </c>
      <c r="E30" s="935">
        <v>0</v>
      </c>
      <c r="F30" s="935">
        <v>0</v>
      </c>
      <c r="G30" s="935">
        <v>0</v>
      </c>
      <c r="H30" s="935">
        <v>0</v>
      </c>
      <c r="I30" s="935">
        <v>0</v>
      </c>
      <c r="J30" s="935">
        <v>0</v>
      </c>
      <c r="K30" s="935">
        <v>0</v>
      </c>
      <c r="L30" s="935">
        <v>0</v>
      </c>
      <c r="M30" s="935">
        <v>0</v>
      </c>
      <c r="N30" s="935">
        <v>0</v>
      </c>
      <c r="O30" s="935">
        <v>0</v>
      </c>
      <c r="P30" s="935">
        <v>0</v>
      </c>
      <c r="Q30" s="935">
        <v>0</v>
      </c>
      <c r="R30" s="935">
        <v>0</v>
      </c>
      <c r="S30" s="935">
        <v>0</v>
      </c>
      <c r="T30" s="935">
        <v>0</v>
      </c>
      <c r="U30" s="935" t="str">
        <f t="shared" si="0"/>
        <v>Use of Buildings</v>
      </c>
      <c r="V30" s="951">
        <f t="shared" si="1"/>
        <v>0</v>
      </c>
      <c r="X30" s="696"/>
    </row>
    <row r="31" spans="1:24" s="695" customFormat="1" hidden="1" x14ac:dyDescent="0.2">
      <c r="B31" s="695" t="s">
        <v>290</v>
      </c>
      <c r="C31" s="935">
        <v>0</v>
      </c>
      <c r="D31" s="935">
        <v>0</v>
      </c>
      <c r="E31" s="935">
        <v>0</v>
      </c>
      <c r="F31" s="935">
        <v>0</v>
      </c>
      <c r="G31" s="935">
        <v>0</v>
      </c>
      <c r="H31" s="935">
        <v>0</v>
      </c>
      <c r="I31" s="935">
        <v>0</v>
      </c>
      <c r="J31" s="935">
        <v>0</v>
      </c>
      <c r="K31" s="935">
        <v>0</v>
      </c>
      <c r="L31" s="935">
        <v>0</v>
      </c>
      <c r="M31" s="935">
        <v>0</v>
      </c>
      <c r="N31" s="935">
        <v>0</v>
      </c>
      <c r="O31" s="935">
        <v>0</v>
      </c>
      <c r="P31" s="935">
        <v>0</v>
      </c>
      <c r="Q31" s="935">
        <v>0</v>
      </c>
      <c r="R31" s="935">
        <v>0</v>
      </c>
      <c r="S31" s="935">
        <v>0</v>
      </c>
      <c r="T31" s="935">
        <v>0</v>
      </c>
      <c r="U31" s="935" t="str">
        <f t="shared" si="0"/>
        <v>Indirect Costs</v>
      </c>
      <c r="V31" s="951">
        <f t="shared" si="1"/>
        <v>0</v>
      </c>
      <c r="X31" s="696"/>
    </row>
    <row r="32" spans="1:24" x14ac:dyDescent="0.2"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52"/>
      <c r="V32" s="952"/>
    </row>
    <row r="33" spans="1:24" s="667" customFormat="1" x14ac:dyDescent="0.2">
      <c r="B33" s="697" t="s">
        <v>124</v>
      </c>
      <c r="C33" s="931">
        <f>SUM(C4:C32)</f>
        <v>24873146</v>
      </c>
      <c r="D33" s="931">
        <f t="shared" ref="D33:T33" si="3">SUM(D4:D32)</f>
        <v>8290475</v>
      </c>
      <c r="E33" s="931">
        <f t="shared" si="3"/>
        <v>0</v>
      </c>
      <c r="F33" s="931">
        <f t="shared" si="3"/>
        <v>0</v>
      </c>
      <c r="G33" s="931">
        <f t="shared" si="3"/>
        <v>0</v>
      </c>
      <c r="H33" s="931">
        <f t="shared" si="3"/>
        <v>0</v>
      </c>
      <c r="I33" s="931">
        <f t="shared" si="3"/>
        <v>675000</v>
      </c>
      <c r="J33" s="931">
        <f t="shared" si="3"/>
        <v>0</v>
      </c>
      <c r="K33" s="931">
        <f t="shared" si="3"/>
        <v>0</v>
      </c>
      <c r="L33" s="931">
        <f t="shared" si="3"/>
        <v>0</v>
      </c>
      <c r="M33" s="931">
        <f t="shared" si="3"/>
        <v>0</v>
      </c>
      <c r="N33" s="931">
        <f t="shared" si="3"/>
        <v>798000</v>
      </c>
      <c r="O33" s="931">
        <f t="shared" si="3"/>
        <v>9600</v>
      </c>
      <c r="P33" s="931">
        <f t="shared" si="3"/>
        <v>427000</v>
      </c>
      <c r="Q33" s="931">
        <f t="shared" si="3"/>
        <v>590000</v>
      </c>
      <c r="R33" s="931">
        <f t="shared" si="3"/>
        <v>155000</v>
      </c>
      <c r="S33" s="931">
        <f t="shared" si="3"/>
        <v>0</v>
      </c>
      <c r="T33" s="931">
        <f t="shared" si="3"/>
        <v>0</v>
      </c>
      <c r="U33" s="947">
        <f>SUM(C33:T33)</f>
        <v>35818221</v>
      </c>
      <c r="V33" s="948"/>
      <c r="W33" s="679">
        <f>SUM(W5:W32)</f>
        <v>24808146</v>
      </c>
      <c r="X33" s="687"/>
    </row>
    <row r="34" spans="1:24" x14ac:dyDescent="0.2">
      <c r="B34" s="676"/>
      <c r="C34" s="935"/>
      <c r="D34" s="935"/>
      <c r="E34" s="935"/>
      <c r="F34" s="935"/>
      <c r="G34" s="935"/>
      <c r="H34" s="935"/>
      <c r="I34" s="935"/>
      <c r="J34" s="935"/>
      <c r="K34" s="935"/>
      <c r="L34" s="935"/>
      <c r="M34" s="935"/>
      <c r="N34" s="935"/>
      <c r="O34" s="935"/>
      <c r="P34" s="935"/>
      <c r="Q34" s="935"/>
      <c r="R34" s="935"/>
      <c r="S34" s="935"/>
      <c r="T34" s="935"/>
      <c r="U34" s="951"/>
      <c r="V34" s="952"/>
    </row>
    <row r="35" spans="1:24" x14ac:dyDescent="0.2">
      <c r="B35" s="695" t="s">
        <v>291</v>
      </c>
      <c r="C35" s="937">
        <v>52271965</v>
      </c>
      <c r="D35" s="937">
        <v>0</v>
      </c>
      <c r="E35" s="937">
        <v>0</v>
      </c>
      <c r="F35" s="937">
        <v>0</v>
      </c>
      <c r="G35" s="937">
        <v>0</v>
      </c>
      <c r="H35" s="937">
        <v>0</v>
      </c>
      <c r="I35" s="937">
        <v>0</v>
      </c>
      <c r="J35" s="937">
        <v>0</v>
      </c>
      <c r="K35" s="937">
        <v>0</v>
      </c>
      <c r="L35" s="937">
        <v>0</v>
      </c>
      <c r="M35" s="937">
        <v>0</v>
      </c>
      <c r="N35" s="937">
        <v>0</v>
      </c>
      <c r="O35" s="937">
        <v>0</v>
      </c>
      <c r="P35" s="937">
        <v>0</v>
      </c>
      <c r="Q35" s="937">
        <v>0</v>
      </c>
      <c r="R35" s="937">
        <v>0</v>
      </c>
      <c r="S35" s="937">
        <v>0</v>
      </c>
      <c r="T35" s="937">
        <v>0</v>
      </c>
      <c r="U35" s="953" t="str">
        <f t="shared" ref="U35:U44" si="4">B35</f>
        <v>Distributive School Fund (DSA)</v>
      </c>
      <c r="V35" s="953">
        <f t="shared" ref="V35:V44" si="5">SUM(C35:T35)</f>
        <v>52271965</v>
      </c>
    </row>
    <row r="36" spans="1:24" hidden="1" x14ac:dyDescent="0.2">
      <c r="B36" s="695" t="s">
        <v>292</v>
      </c>
      <c r="C36" s="937">
        <v>0</v>
      </c>
      <c r="D36" s="937">
        <v>0</v>
      </c>
      <c r="E36" s="937">
        <v>0</v>
      </c>
      <c r="F36" s="937">
        <v>0</v>
      </c>
      <c r="G36" s="937">
        <v>0</v>
      </c>
      <c r="H36" s="937">
        <v>0</v>
      </c>
      <c r="I36" s="937">
        <v>0</v>
      </c>
      <c r="J36" s="937">
        <v>0</v>
      </c>
      <c r="K36" s="937">
        <v>0</v>
      </c>
      <c r="L36" s="937">
        <v>0</v>
      </c>
      <c r="M36" s="937">
        <v>0</v>
      </c>
      <c r="N36" s="937">
        <v>0</v>
      </c>
      <c r="O36" s="937">
        <v>0</v>
      </c>
      <c r="P36" s="937">
        <v>0</v>
      </c>
      <c r="Q36" s="937">
        <v>0</v>
      </c>
      <c r="R36" s="937">
        <v>0</v>
      </c>
      <c r="S36" s="937">
        <v>0</v>
      </c>
      <c r="T36" s="937">
        <v>0</v>
      </c>
      <c r="U36" s="953" t="str">
        <f t="shared" si="4"/>
        <v>DSA Charter Reduction-Outside Revs</v>
      </c>
      <c r="V36" s="953">
        <f t="shared" si="5"/>
        <v>0</v>
      </c>
    </row>
    <row r="37" spans="1:24" x14ac:dyDescent="0.2">
      <c r="B37" s="695" t="s">
        <v>293</v>
      </c>
      <c r="C37" s="937">
        <v>0</v>
      </c>
      <c r="D37" s="937">
        <v>0</v>
      </c>
      <c r="E37" s="937">
        <v>3873831</v>
      </c>
      <c r="F37" s="937">
        <v>0</v>
      </c>
      <c r="G37" s="937">
        <v>0</v>
      </c>
      <c r="H37" s="937">
        <v>0</v>
      </c>
      <c r="I37" s="937">
        <v>0</v>
      </c>
      <c r="J37" s="937">
        <v>0</v>
      </c>
      <c r="K37" s="937">
        <v>0</v>
      </c>
      <c r="L37" s="937">
        <v>0</v>
      </c>
      <c r="M37" s="937">
        <v>0</v>
      </c>
      <c r="N37" s="937">
        <v>0</v>
      </c>
      <c r="O37" s="937">
        <v>0</v>
      </c>
      <c r="P37" s="937">
        <v>0</v>
      </c>
      <c r="Q37" s="937">
        <v>0</v>
      </c>
      <c r="R37" s="937">
        <v>0</v>
      </c>
      <c r="S37" s="937">
        <v>0</v>
      </c>
      <c r="T37" s="937">
        <v>0</v>
      </c>
      <c r="U37" s="953" t="str">
        <f t="shared" si="4"/>
        <v>Special Education - DSA Funding</v>
      </c>
      <c r="V37" s="953">
        <f t="shared" si="5"/>
        <v>3873831</v>
      </c>
    </row>
    <row r="38" spans="1:24" hidden="1" x14ac:dyDescent="0.2">
      <c r="B38" s="695" t="s">
        <v>475</v>
      </c>
      <c r="C38" s="937">
        <v>0</v>
      </c>
      <c r="D38" s="937">
        <v>0</v>
      </c>
      <c r="E38" s="937">
        <v>0</v>
      </c>
      <c r="F38" s="937">
        <v>0</v>
      </c>
      <c r="G38" s="937">
        <v>0</v>
      </c>
      <c r="H38" s="937">
        <v>0</v>
      </c>
      <c r="I38" s="937">
        <v>0</v>
      </c>
      <c r="J38" s="937">
        <v>0</v>
      </c>
      <c r="K38" s="937">
        <v>0</v>
      </c>
      <c r="L38" s="937">
        <v>0</v>
      </c>
      <c r="M38" s="937">
        <v>0</v>
      </c>
      <c r="N38" s="937">
        <v>0</v>
      </c>
      <c r="O38" s="937">
        <v>0</v>
      </c>
      <c r="P38" s="937">
        <v>0</v>
      </c>
      <c r="Q38" s="937">
        <v>0</v>
      </c>
      <c r="R38" s="937">
        <v>0</v>
      </c>
      <c r="S38" s="937">
        <v>0</v>
      </c>
      <c r="T38" s="937">
        <v>0</v>
      </c>
      <c r="U38" s="953" t="str">
        <f t="shared" si="4"/>
        <v>Counseling - DSA Funding</v>
      </c>
      <c r="V38" s="953">
        <f t="shared" si="5"/>
        <v>0</v>
      </c>
    </row>
    <row r="39" spans="1:24" hidden="1" x14ac:dyDescent="0.2">
      <c r="B39" s="695" t="s">
        <v>294</v>
      </c>
      <c r="C39" s="937">
        <v>0</v>
      </c>
      <c r="D39" s="937">
        <v>0</v>
      </c>
      <c r="E39" s="937">
        <v>0</v>
      </c>
      <c r="F39" s="937">
        <v>0</v>
      </c>
      <c r="G39" s="937">
        <v>0</v>
      </c>
      <c r="H39" s="937">
        <v>0</v>
      </c>
      <c r="I39" s="937">
        <v>0</v>
      </c>
      <c r="J39" s="937">
        <v>0</v>
      </c>
      <c r="K39" s="937">
        <v>0</v>
      </c>
      <c r="L39" s="937">
        <v>0</v>
      </c>
      <c r="M39" s="937">
        <v>0</v>
      </c>
      <c r="N39" s="937">
        <v>0</v>
      </c>
      <c r="O39" s="937">
        <v>0</v>
      </c>
      <c r="P39" s="937">
        <v>0</v>
      </c>
      <c r="Q39" s="937">
        <v>0</v>
      </c>
      <c r="R39" s="937">
        <v>0</v>
      </c>
      <c r="S39" s="937">
        <v>0</v>
      </c>
      <c r="T39" s="937">
        <v>0</v>
      </c>
      <c r="U39" s="953" t="str">
        <f t="shared" si="4"/>
        <v>State Food Aid</v>
      </c>
      <c r="V39" s="953">
        <f t="shared" si="5"/>
        <v>0</v>
      </c>
    </row>
    <row r="40" spans="1:24" x14ac:dyDescent="0.2">
      <c r="B40" s="695" t="s">
        <v>295</v>
      </c>
      <c r="C40" s="937">
        <v>0</v>
      </c>
      <c r="D40" s="937">
        <v>0</v>
      </c>
      <c r="E40" s="937">
        <v>0</v>
      </c>
      <c r="F40" s="937">
        <v>0</v>
      </c>
      <c r="G40" s="937">
        <v>0</v>
      </c>
      <c r="H40" s="937">
        <v>0</v>
      </c>
      <c r="I40" s="937">
        <v>30000</v>
      </c>
      <c r="J40" s="937">
        <v>0</v>
      </c>
      <c r="K40" s="937">
        <v>0</v>
      </c>
      <c r="L40" s="937">
        <v>4158316</v>
      </c>
      <c r="M40" s="937">
        <v>0</v>
      </c>
      <c r="N40" s="937">
        <v>0</v>
      </c>
      <c r="O40" s="937">
        <v>0</v>
      </c>
      <c r="P40" s="937">
        <v>0</v>
      </c>
      <c r="Q40" s="937">
        <v>0</v>
      </c>
      <c r="R40" s="937">
        <v>0</v>
      </c>
      <c r="S40" s="937">
        <v>0</v>
      </c>
      <c r="T40" s="937">
        <v>0</v>
      </c>
      <c r="U40" s="953" t="str">
        <f t="shared" si="4"/>
        <v>Restricted Funding/Grants-in-aid rev</v>
      </c>
      <c r="V40" s="953">
        <f t="shared" si="5"/>
        <v>4188316</v>
      </c>
    </row>
    <row r="41" spans="1:24" x14ac:dyDescent="0.2">
      <c r="B41" s="695" t="s">
        <v>682</v>
      </c>
      <c r="C41" s="937">
        <v>0</v>
      </c>
      <c r="D41" s="937">
        <v>0</v>
      </c>
      <c r="E41" s="937">
        <v>0</v>
      </c>
      <c r="F41" s="937">
        <v>0</v>
      </c>
      <c r="G41" s="937">
        <v>0</v>
      </c>
      <c r="H41" s="937">
        <v>0</v>
      </c>
      <c r="I41" s="937">
        <v>0</v>
      </c>
      <c r="J41" s="937">
        <v>192325</v>
      </c>
      <c r="K41" s="937">
        <v>0</v>
      </c>
      <c r="L41" s="937">
        <v>0</v>
      </c>
      <c r="M41" s="937">
        <v>0</v>
      </c>
      <c r="N41" s="937">
        <v>0</v>
      </c>
      <c r="O41" s="937">
        <v>0</v>
      </c>
      <c r="P41" s="937">
        <v>0</v>
      </c>
      <c r="Q41" s="937">
        <v>0</v>
      </c>
      <c r="R41" s="937">
        <v>0</v>
      </c>
      <c r="S41" s="937">
        <v>0</v>
      </c>
      <c r="T41" s="937">
        <v>0</v>
      </c>
      <c r="U41" s="953" t="str">
        <f t="shared" si="4"/>
        <v xml:space="preserve">Adult High School Diploma </v>
      </c>
      <c r="V41" s="953">
        <f t="shared" si="5"/>
        <v>192325</v>
      </c>
    </row>
    <row r="42" spans="1:24" hidden="1" x14ac:dyDescent="0.2">
      <c r="B42" s="695" t="s">
        <v>553</v>
      </c>
      <c r="C42" s="937">
        <v>0</v>
      </c>
      <c r="D42" s="937">
        <v>0</v>
      </c>
      <c r="E42" s="937">
        <v>0</v>
      </c>
      <c r="F42" s="937">
        <v>0</v>
      </c>
      <c r="G42" s="937">
        <v>0</v>
      </c>
      <c r="H42" s="937">
        <v>0</v>
      </c>
      <c r="I42" s="937">
        <v>0</v>
      </c>
      <c r="J42" s="937">
        <v>0</v>
      </c>
      <c r="K42" s="937">
        <v>0</v>
      </c>
      <c r="L42" s="937">
        <v>0</v>
      </c>
      <c r="M42" s="937">
        <v>0</v>
      </c>
      <c r="N42" s="937">
        <v>0</v>
      </c>
      <c r="O42" s="937">
        <v>0</v>
      </c>
      <c r="P42" s="937">
        <v>0</v>
      </c>
      <c r="Q42" s="937">
        <v>0</v>
      </c>
      <c r="R42" s="937">
        <v>0</v>
      </c>
      <c r="S42" s="937">
        <v>0</v>
      </c>
      <c r="T42" s="937">
        <v>0</v>
      </c>
      <c r="U42" s="953" t="str">
        <f t="shared" si="4"/>
        <v>SB 178 NV Education Fund Plan</v>
      </c>
      <c r="V42" s="953">
        <f t="shared" si="5"/>
        <v>0</v>
      </c>
    </row>
    <row r="43" spans="1:24" x14ac:dyDescent="0.2">
      <c r="B43" s="695" t="s">
        <v>191</v>
      </c>
      <c r="C43" s="937">
        <v>0</v>
      </c>
      <c r="D43" s="937">
        <v>0</v>
      </c>
      <c r="E43" s="937">
        <v>0</v>
      </c>
      <c r="F43" s="937">
        <v>0</v>
      </c>
      <c r="G43" s="937">
        <v>0</v>
      </c>
      <c r="H43" s="937">
        <v>0</v>
      </c>
      <c r="I43" s="937">
        <v>0</v>
      </c>
      <c r="J43" s="937">
        <v>0</v>
      </c>
      <c r="K43" s="937">
        <v>1800000</v>
      </c>
      <c r="L43" s="937">
        <v>0</v>
      </c>
      <c r="M43" s="937">
        <v>0</v>
      </c>
      <c r="N43" s="937">
        <v>0</v>
      </c>
      <c r="O43" s="937">
        <v>0</v>
      </c>
      <c r="P43" s="937">
        <v>0</v>
      </c>
      <c r="Q43" s="937">
        <v>0</v>
      </c>
      <c r="R43" s="937">
        <v>0</v>
      </c>
      <c r="S43" s="937">
        <v>0</v>
      </c>
      <c r="T43" s="937">
        <v>0</v>
      </c>
      <c r="U43" s="953" t="str">
        <f t="shared" si="4"/>
        <v>Class Size Reduction</v>
      </c>
      <c r="V43" s="953">
        <f t="shared" si="5"/>
        <v>1800000</v>
      </c>
    </row>
    <row r="44" spans="1:24" hidden="1" x14ac:dyDescent="0.2">
      <c r="B44" s="695" t="s">
        <v>386</v>
      </c>
      <c r="C44" s="937">
        <v>0</v>
      </c>
      <c r="D44" s="937">
        <v>0</v>
      </c>
      <c r="E44" s="937">
        <v>0</v>
      </c>
      <c r="F44" s="937">
        <v>0</v>
      </c>
      <c r="G44" s="937">
        <v>0</v>
      </c>
      <c r="H44" s="937">
        <v>0</v>
      </c>
      <c r="I44" s="937">
        <v>0</v>
      </c>
      <c r="J44" s="937">
        <v>0</v>
      </c>
      <c r="K44" s="937">
        <v>0</v>
      </c>
      <c r="L44" s="937">
        <v>0</v>
      </c>
      <c r="M44" s="937">
        <v>0</v>
      </c>
      <c r="N44" s="937">
        <v>0</v>
      </c>
      <c r="O44" s="937">
        <v>0</v>
      </c>
      <c r="P44" s="937">
        <v>0</v>
      </c>
      <c r="Q44" s="937">
        <v>0</v>
      </c>
      <c r="R44" s="937">
        <v>0</v>
      </c>
      <c r="S44" s="937">
        <v>0</v>
      </c>
      <c r="T44" s="937">
        <v>0</v>
      </c>
      <c r="U44" s="953" t="str">
        <f t="shared" si="4"/>
        <v>For/on behalf of School District</v>
      </c>
      <c r="V44" s="953">
        <f t="shared" si="5"/>
        <v>0</v>
      </c>
    </row>
    <row r="45" spans="1:24" x14ac:dyDescent="0.2">
      <c r="C45" s="935"/>
      <c r="D45" s="935"/>
      <c r="E45" s="935"/>
      <c r="F45" s="935"/>
      <c r="G45" s="935"/>
      <c r="H45" s="935"/>
      <c r="I45" s="935"/>
      <c r="J45" s="935"/>
      <c r="K45" s="935"/>
      <c r="L45" s="935"/>
      <c r="M45" s="935"/>
      <c r="N45" s="935"/>
      <c r="O45" s="935"/>
      <c r="P45" s="935"/>
      <c r="Q45" s="935"/>
      <c r="R45" s="935"/>
      <c r="S45" s="935"/>
      <c r="T45" s="935"/>
      <c r="U45" s="951"/>
      <c r="V45" s="952"/>
    </row>
    <row r="46" spans="1:24" s="667" customFormat="1" x14ac:dyDescent="0.2">
      <c r="B46" s="697" t="s">
        <v>125</v>
      </c>
      <c r="C46" s="931">
        <f>SUM(C34:C45)</f>
        <v>52271965</v>
      </c>
      <c r="D46" s="931">
        <f t="shared" ref="D46:T46" si="6">SUM(D34:D45)</f>
        <v>0</v>
      </c>
      <c r="E46" s="931">
        <f t="shared" si="6"/>
        <v>3873831</v>
      </c>
      <c r="F46" s="931">
        <f t="shared" si="6"/>
        <v>0</v>
      </c>
      <c r="G46" s="931">
        <f t="shared" si="6"/>
        <v>0</v>
      </c>
      <c r="H46" s="931">
        <f t="shared" si="6"/>
        <v>0</v>
      </c>
      <c r="I46" s="931">
        <f t="shared" si="6"/>
        <v>30000</v>
      </c>
      <c r="J46" s="931">
        <f t="shared" si="6"/>
        <v>192325</v>
      </c>
      <c r="K46" s="931">
        <f t="shared" si="6"/>
        <v>1800000</v>
      </c>
      <c r="L46" s="931">
        <f t="shared" si="6"/>
        <v>4158316</v>
      </c>
      <c r="M46" s="931">
        <f t="shared" si="6"/>
        <v>0</v>
      </c>
      <c r="N46" s="931">
        <f t="shared" si="6"/>
        <v>0</v>
      </c>
      <c r="O46" s="931">
        <f t="shared" si="6"/>
        <v>0</v>
      </c>
      <c r="P46" s="931">
        <f t="shared" si="6"/>
        <v>0</v>
      </c>
      <c r="Q46" s="931">
        <f t="shared" si="6"/>
        <v>0</v>
      </c>
      <c r="R46" s="931">
        <f t="shared" si="6"/>
        <v>0</v>
      </c>
      <c r="S46" s="931">
        <f t="shared" si="6"/>
        <v>0</v>
      </c>
      <c r="T46" s="931">
        <f t="shared" si="6"/>
        <v>0</v>
      </c>
      <c r="U46" s="947">
        <f>SUM(C46:T46)</f>
        <v>62326437</v>
      </c>
      <c r="V46" s="948"/>
      <c r="X46" s="687"/>
    </row>
    <row r="47" spans="1:24" x14ac:dyDescent="0.2">
      <c r="B47" s="676"/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951"/>
      <c r="V47" s="952"/>
    </row>
    <row r="48" spans="1:24" s="695" customFormat="1" hidden="1" x14ac:dyDescent="0.2">
      <c r="A48" s="698"/>
      <c r="B48" s="695" t="s">
        <v>658</v>
      </c>
      <c r="C48" s="937">
        <v>0</v>
      </c>
      <c r="D48" s="937">
        <v>0</v>
      </c>
      <c r="E48" s="937">
        <v>0</v>
      </c>
      <c r="F48" s="937">
        <v>0</v>
      </c>
      <c r="G48" s="937">
        <v>0</v>
      </c>
      <c r="H48" s="937">
        <v>0</v>
      </c>
      <c r="I48" s="937">
        <v>0</v>
      </c>
      <c r="J48" s="937">
        <v>0</v>
      </c>
      <c r="K48" s="937">
        <v>0</v>
      </c>
      <c r="L48" s="937">
        <v>0</v>
      </c>
      <c r="M48" s="937">
        <v>0</v>
      </c>
      <c r="N48" s="937">
        <v>0</v>
      </c>
      <c r="O48" s="937">
        <v>0</v>
      </c>
      <c r="P48" s="937">
        <v>0</v>
      </c>
      <c r="Q48" s="937">
        <v>0</v>
      </c>
      <c r="R48" s="937">
        <v>0</v>
      </c>
      <c r="S48" s="937">
        <v>0</v>
      </c>
      <c r="T48" s="937">
        <v>0</v>
      </c>
      <c r="U48" s="953" t="str">
        <f t="shared" ref="U48:U58" si="7">B48</f>
        <v>Federal Lunch Reimbursement</v>
      </c>
      <c r="V48" s="953">
        <f t="shared" ref="V48:V58" si="8">SUM(C48:T48)</f>
        <v>0</v>
      </c>
      <c r="X48" s="696"/>
    </row>
    <row r="49" spans="1:24" s="695" customFormat="1" x14ac:dyDescent="0.2">
      <c r="A49" s="698"/>
      <c r="B49" s="695" t="s">
        <v>659</v>
      </c>
      <c r="C49" s="937">
        <v>25000</v>
      </c>
      <c r="D49" s="937">
        <v>0</v>
      </c>
      <c r="E49" s="937">
        <v>0</v>
      </c>
      <c r="F49" s="937">
        <v>0</v>
      </c>
      <c r="G49" s="937">
        <v>0</v>
      </c>
      <c r="H49" s="937">
        <v>0</v>
      </c>
      <c r="I49" s="937">
        <v>0</v>
      </c>
      <c r="J49" s="937">
        <v>0</v>
      </c>
      <c r="K49" s="937">
        <v>0</v>
      </c>
      <c r="L49" s="937">
        <v>0</v>
      </c>
      <c r="M49" s="937">
        <v>0</v>
      </c>
      <c r="N49" s="937">
        <v>0</v>
      </c>
      <c r="O49" s="937">
        <v>0</v>
      </c>
      <c r="P49" s="937">
        <v>0</v>
      </c>
      <c r="Q49" s="937">
        <v>0</v>
      </c>
      <c r="R49" s="937">
        <v>0</v>
      </c>
      <c r="S49" s="937">
        <v>0</v>
      </c>
      <c r="T49" s="937">
        <v>0</v>
      </c>
      <c r="U49" s="953" t="str">
        <f t="shared" si="7"/>
        <v>Forest Reserve</v>
      </c>
      <c r="V49" s="953">
        <f t="shared" si="8"/>
        <v>25000</v>
      </c>
      <c r="X49" s="696"/>
    </row>
    <row r="50" spans="1:24" s="695" customFormat="1" x14ac:dyDescent="0.2">
      <c r="A50" s="698"/>
      <c r="B50" s="695" t="s">
        <v>660</v>
      </c>
      <c r="C50" s="937">
        <v>462000</v>
      </c>
      <c r="D50" s="937">
        <v>0</v>
      </c>
      <c r="E50" s="937">
        <v>0</v>
      </c>
      <c r="F50" s="937">
        <v>0</v>
      </c>
      <c r="G50" s="937">
        <v>0</v>
      </c>
      <c r="H50" s="937">
        <v>0</v>
      </c>
      <c r="I50" s="937">
        <v>0</v>
      </c>
      <c r="J50" s="937">
        <v>0</v>
      </c>
      <c r="K50" s="937">
        <v>0</v>
      </c>
      <c r="L50" s="937">
        <v>0</v>
      </c>
      <c r="M50" s="937">
        <v>0</v>
      </c>
      <c r="N50" s="937">
        <v>0</v>
      </c>
      <c r="O50" s="937">
        <v>0</v>
      </c>
      <c r="P50" s="937">
        <v>0</v>
      </c>
      <c r="Q50" s="937">
        <v>0</v>
      </c>
      <c r="R50" s="937">
        <v>0</v>
      </c>
      <c r="S50" s="937">
        <v>0</v>
      </c>
      <c r="T50" s="937">
        <v>0</v>
      </c>
      <c r="U50" s="953" t="str">
        <f t="shared" si="7"/>
        <v>Erate Funds</v>
      </c>
      <c r="V50" s="953">
        <f t="shared" si="8"/>
        <v>462000</v>
      </c>
      <c r="X50" s="696"/>
    </row>
    <row r="51" spans="1:24" s="695" customFormat="1" x14ac:dyDescent="0.2">
      <c r="A51" s="698"/>
      <c r="B51" s="695" t="s">
        <v>683</v>
      </c>
      <c r="C51" s="937">
        <v>0</v>
      </c>
      <c r="D51" s="937">
        <v>0</v>
      </c>
      <c r="E51" s="937">
        <v>0</v>
      </c>
      <c r="F51" s="937">
        <v>500000</v>
      </c>
      <c r="G51" s="937">
        <v>0</v>
      </c>
      <c r="H51" s="937">
        <v>0</v>
      </c>
      <c r="I51" s="937">
        <v>0</v>
      </c>
      <c r="J51" s="937">
        <v>0</v>
      </c>
      <c r="K51" s="937">
        <v>0</v>
      </c>
      <c r="L51" s="937">
        <v>0</v>
      </c>
      <c r="M51" s="937">
        <v>0</v>
      </c>
      <c r="N51" s="937">
        <v>0</v>
      </c>
      <c r="O51" s="937">
        <v>0</v>
      </c>
      <c r="P51" s="937">
        <v>0</v>
      </c>
      <c r="Q51" s="937">
        <v>0</v>
      </c>
      <c r="R51" s="937">
        <v>0</v>
      </c>
      <c r="S51" s="937">
        <v>0</v>
      </c>
      <c r="T51" s="937">
        <v>0</v>
      </c>
      <c r="U51" s="953" t="str">
        <f t="shared" si="7"/>
        <v>Medicaid Reimbursement</v>
      </c>
      <c r="V51" s="953">
        <f t="shared" si="8"/>
        <v>500000</v>
      </c>
      <c r="X51" s="696"/>
    </row>
    <row r="52" spans="1:24" s="695" customFormat="1" hidden="1" x14ac:dyDescent="0.2">
      <c r="A52" s="698"/>
      <c r="B52" s="695" t="s">
        <v>390</v>
      </c>
      <c r="C52" s="937">
        <v>0</v>
      </c>
      <c r="D52" s="937">
        <v>0</v>
      </c>
      <c r="E52" s="937">
        <v>0</v>
      </c>
      <c r="F52" s="937">
        <v>0</v>
      </c>
      <c r="G52" s="937">
        <v>0</v>
      </c>
      <c r="H52" s="937">
        <v>0</v>
      </c>
      <c r="I52" s="937">
        <v>0</v>
      </c>
      <c r="J52" s="937">
        <v>0</v>
      </c>
      <c r="K52" s="937">
        <v>0</v>
      </c>
      <c r="L52" s="937">
        <v>0</v>
      </c>
      <c r="M52" s="937">
        <v>0</v>
      </c>
      <c r="N52" s="937">
        <v>0</v>
      </c>
      <c r="O52" s="937">
        <v>0</v>
      </c>
      <c r="P52" s="937">
        <v>0</v>
      </c>
      <c r="Q52" s="937">
        <v>0</v>
      </c>
      <c r="R52" s="937">
        <v>0</v>
      </c>
      <c r="S52" s="937">
        <v>0</v>
      </c>
      <c r="T52" s="937">
        <v>0</v>
      </c>
      <c r="U52" s="953" t="str">
        <f t="shared" si="7"/>
        <v>Unrestricted - Direct Fed Gov't</v>
      </c>
      <c r="V52" s="953">
        <f t="shared" si="8"/>
        <v>0</v>
      </c>
      <c r="X52" s="696"/>
    </row>
    <row r="53" spans="1:24" s="695" customFormat="1" hidden="1" x14ac:dyDescent="0.2">
      <c r="A53" s="698"/>
      <c r="B53" s="695" t="s">
        <v>617</v>
      </c>
      <c r="C53" s="937">
        <v>0</v>
      </c>
      <c r="D53" s="937">
        <v>0</v>
      </c>
      <c r="E53" s="937">
        <v>0</v>
      </c>
      <c r="F53" s="937">
        <v>0</v>
      </c>
      <c r="G53" s="937">
        <v>0</v>
      </c>
      <c r="H53" s="937">
        <v>0</v>
      </c>
      <c r="I53" s="937">
        <v>0</v>
      </c>
      <c r="J53" s="937">
        <v>0</v>
      </c>
      <c r="K53" s="937">
        <v>0</v>
      </c>
      <c r="L53" s="937">
        <v>0</v>
      </c>
      <c r="M53" s="937">
        <v>0</v>
      </c>
      <c r="N53" s="937">
        <v>0</v>
      </c>
      <c r="O53" s="937">
        <v>0</v>
      </c>
      <c r="P53" s="937">
        <v>0</v>
      </c>
      <c r="Q53" s="937">
        <v>0</v>
      </c>
      <c r="R53" s="937">
        <v>0</v>
      </c>
      <c r="S53" s="937">
        <v>0</v>
      </c>
      <c r="T53" s="937">
        <v>0</v>
      </c>
      <c r="U53" s="953" t="str">
        <f t="shared" si="7"/>
        <v>Unrestricted - State Agency</v>
      </c>
      <c r="V53" s="953">
        <f t="shared" si="8"/>
        <v>0</v>
      </c>
      <c r="X53" s="696"/>
    </row>
    <row r="54" spans="1:24" s="695" customFormat="1" hidden="1" x14ac:dyDescent="0.2">
      <c r="A54" s="698"/>
      <c r="B54" s="695" t="s">
        <v>299</v>
      </c>
      <c r="C54" s="937">
        <v>0</v>
      </c>
      <c r="D54" s="937">
        <v>0</v>
      </c>
      <c r="E54" s="937">
        <v>0</v>
      </c>
      <c r="F54" s="937">
        <v>0</v>
      </c>
      <c r="G54" s="937">
        <v>0</v>
      </c>
      <c r="H54" s="937">
        <v>0</v>
      </c>
      <c r="I54" s="937">
        <v>0</v>
      </c>
      <c r="J54" s="937">
        <v>0</v>
      </c>
      <c r="K54" s="937">
        <v>0</v>
      </c>
      <c r="L54" s="937">
        <v>0</v>
      </c>
      <c r="M54" s="937">
        <v>0</v>
      </c>
      <c r="N54" s="937">
        <v>0</v>
      </c>
      <c r="O54" s="937">
        <v>0</v>
      </c>
      <c r="P54" s="937">
        <v>0</v>
      </c>
      <c r="Q54" s="937">
        <v>0</v>
      </c>
      <c r="R54" s="937">
        <v>0</v>
      </c>
      <c r="S54" s="937">
        <v>0</v>
      </c>
      <c r="T54" s="937">
        <v>0</v>
      </c>
      <c r="U54" s="953" t="str">
        <f t="shared" si="7"/>
        <v>Restricted - Direct</v>
      </c>
      <c r="V54" s="953">
        <f t="shared" si="8"/>
        <v>0</v>
      </c>
      <c r="X54" s="696"/>
    </row>
    <row r="55" spans="1:24" s="695" customFormat="1" x14ac:dyDescent="0.2">
      <c r="A55" s="698"/>
      <c r="B55" s="695" t="s">
        <v>298</v>
      </c>
      <c r="C55" s="937">
        <v>0</v>
      </c>
      <c r="D55" s="937">
        <v>0</v>
      </c>
      <c r="E55" s="937">
        <v>0</v>
      </c>
      <c r="F55" s="937">
        <v>0</v>
      </c>
      <c r="G55" s="937">
        <v>4440301</v>
      </c>
      <c r="H55" s="937">
        <v>0</v>
      </c>
      <c r="I55" s="937">
        <v>2756250</v>
      </c>
      <c r="J55" s="937">
        <v>0</v>
      </c>
      <c r="K55" s="937">
        <v>0</v>
      </c>
      <c r="L55" s="937">
        <v>0</v>
      </c>
      <c r="M55" s="937">
        <v>0</v>
      </c>
      <c r="N55" s="937">
        <v>0</v>
      </c>
      <c r="O55" s="937">
        <v>0</v>
      </c>
      <c r="P55" s="937">
        <v>0</v>
      </c>
      <c r="Q55" s="937">
        <v>0</v>
      </c>
      <c r="R55" s="937">
        <v>0</v>
      </c>
      <c r="S55" s="937">
        <v>0</v>
      </c>
      <c r="T55" s="937">
        <v>0</v>
      </c>
      <c r="U55" s="953" t="str">
        <f t="shared" si="7"/>
        <v>Restricted - State Agency</v>
      </c>
      <c r="V55" s="953">
        <f t="shared" si="8"/>
        <v>7196551</v>
      </c>
      <c r="X55" s="696"/>
    </row>
    <row r="56" spans="1:24" s="695" customFormat="1" hidden="1" x14ac:dyDescent="0.2">
      <c r="A56" s="698"/>
      <c r="B56" s="695" t="s">
        <v>476</v>
      </c>
      <c r="C56" s="937">
        <v>0</v>
      </c>
      <c r="D56" s="937">
        <v>0</v>
      </c>
      <c r="E56" s="937">
        <v>0</v>
      </c>
      <c r="F56" s="937">
        <v>0</v>
      </c>
      <c r="G56" s="937">
        <v>0</v>
      </c>
      <c r="H56" s="937">
        <v>0</v>
      </c>
      <c r="I56" s="937">
        <v>0</v>
      </c>
      <c r="J56" s="937">
        <v>0</v>
      </c>
      <c r="K56" s="937">
        <v>0</v>
      </c>
      <c r="L56" s="937">
        <v>0</v>
      </c>
      <c r="M56" s="937">
        <v>0</v>
      </c>
      <c r="N56" s="937">
        <v>0</v>
      </c>
      <c r="O56" s="937">
        <v>0</v>
      </c>
      <c r="P56" s="937">
        <v>0</v>
      </c>
      <c r="Q56" s="937">
        <v>0</v>
      </c>
      <c r="R56" s="937">
        <v>0</v>
      </c>
      <c r="S56" s="937">
        <v>0</v>
      </c>
      <c r="T56" s="937">
        <v>0</v>
      </c>
      <c r="U56" s="953" t="str">
        <f t="shared" si="7"/>
        <v>Restricted - Other Agency</v>
      </c>
      <c r="V56" s="953">
        <f t="shared" si="8"/>
        <v>0</v>
      </c>
      <c r="X56" s="696"/>
    </row>
    <row r="57" spans="1:24" s="695" customFormat="1" hidden="1" x14ac:dyDescent="0.2">
      <c r="A57" s="698"/>
      <c r="B57" s="695" t="s">
        <v>398</v>
      </c>
      <c r="C57" s="937">
        <v>0</v>
      </c>
      <c r="D57" s="937">
        <v>0</v>
      </c>
      <c r="E57" s="937">
        <v>0</v>
      </c>
      <c r="F57" s="937">
        <v>0</v>
      </c>
      <c r="G57" s="937">
        <v>0</v>
      </c>
      <c r="H57" s="937">
        <v>0</v>
      </c>
      <c r="I57" s="937">
        <v>0</v>
      </c>
      <c r="J57" s="937">
        <v>0</v>
      </c>
      <c r="K57" s="937">
        <v>0</v>
      </c>
      <c r="L57" s="937">
        <v>0</v>
      </c>
      <c r="M57" s="937">
        <v>0</v>
      </c>
      <c r="N57" s="937">
        <v>0</v>
      </c>
      <c r="O57" s="937">
        <v>0</v>
      </c>
      <c r="P57" s="937">
        <v>0</v>
      </c>
      <c r="Q57" s="937">
        <v>0</v>
      </c>
      <c r="R57" s="937">
        <v>0</v>
      </c>
      <c r="S57" s="937">
        <v>0</v>
      </c>
      <c r="T57" s="937">
        <v>0</v>
      </c>
      <c r="U57" s="953" t="str">
        <f t="shared" si="7"/>
        <v>Revenue in Lieu of Taxes</v>
      </c>
      <c r="V57" s="953">
        <f t="shared" si="8"/>
        <v>0</v>
      </c>
      <c r="X57" s="696"/>
    </row>
    <row r="58" spans="1:24" x14ac:dyDescent="0.2">
      <c r="B58" s="695" t="s">
        <v>554</v>
      </c>
      <c r="C58" s="937">
        <v>0</v>
      </c>
      <c r="D58" s="937">
        <v>0</v>
      </c>
      <c r="E58" s="937">
        <v>0</v>
      </c>
      <c r="F58" s="937">
        <v>0</v>
      </c>
      <c r="G58" s="937">
        <v>0</v>
      </c>
      <c r="H58" s="937">
        <v>0</v>
      </c>
      <c r="I58" s="937">
        <v>50000</v>
      </c>
      <c r="J58" s="937">
        <v>0</v>
      </c>
      <c r="K58" s="937">
        <v>0</v>
      </c>
      <c r="L58" s="937">
        <v>0</v>
      </c>
      <c r="M58" s="937">
        <v>0</v>
      </c>
      <c r="N58" s="937">
        <v>0</v>
      </c>
      <c r="O58" s="937">
        <v>0</v>
      </c>
      <c r="P58" s="937">
        <v>0</v>
      </c>
      <c r="Q58" s="937">
        <v>0</v>
      </c>
      <c r="R58" s="937">
        <v>0</v>
      </c>
      <c r="S58" s="937">
        <v>0</v>
      </c>
      <c r="T58" s="937">
        <v>0</v>
      </c>
      <c r="U58" s="953" t="str">
        <f t="shared" si="7"/>
        <v>Revenue for/on behalf of School District</v>
      </c>
      <c r="V58" s="953">
        <f t="shared" si="8"/>
        <v>50000</v>
      </c>
    </row>
    <row r="59" spans="1:24" x14ac:dyDescent="0.2">
      <c r="C59" s="935"/>
      <c r="D59" s="935"/>
      <c r="E59" s="935"/>
      <c r="F59" s="935"/>
      <c r="G59" s="935"/>
      <c r="H59" s="935"/>
      <c r="I59" s="935"/>
      <c r="J59" s="935"/>
      <c r="K59" s="935"/>
      <c r="L59" s="935"/>
      <c r="M59" s="935"/>
      <c r="N59" s="935"/>
      <c r="O59" s="935"/>
      <c r="P59" s="935"/>
      <c r="Q59" s="935"/>
      <c r="R59" s="935"/>
      <c r="S59" s="935"/>
      <c r="T59" s="935"/>
      <c r="U59" s="951"/>
      <c r="V59" s="952"/>
    </row>
    <row r="60" spans="1:24" s="667" customFormat="1" x14ac:dyDescent="0.2">
      <c r="B60" s="697" t="s">
        <v>126</v>
      </c>
      <c r="C60" s="931">
        <f>SUM(C47:C59)</f>
        <v>487000</v>
      </c>
      <c r="D60" s="931">
        <f t="shared" ref="D60:T60" si="9">SUM(D47:D59)</f>
        <v>0</v>
      </c>
      <c r="E60" s="931">
        <f t="shared" si="9"/>
        <v>0</v>
      </c>
      <c r="F60" s="931">
        <f t="shared" si="9"/>
        <v>500000</v>
      </c>
      <c r="G60" s="931">
        <f t="shared" si="9"/>
        <v>4440301</v>
      </c>
      <c r="H60" s="931">
        <f t="shared" si="9"/>
        <v>0</v>
      </c>
      <c r="I60" s="931">
        <f t="shared" si="9"/>
        <v>2806250</v>
      </c>
      <c r="J60" s="931">
        <f t="shared" si="9"/>
        <v>0</v>
      </c>
      <c r="K60" s="931">
        <f t="shared" si="9"/>
        <v>0</v>
      </c>
      <c r="L60" s="931">
        <f t="shared" si="9"/>
        <v>0</v>
      </c>
      <c r="M60" s="931">
        <f t="shared" si="9"/>
        <v>0</v>
      </c>
      <c r="N60" s="931">
        <f t="shared" si="9"/>
        <v>0</v>
      </c>
      <c r="O60" s="931">
        <f t="shared" si="9"/>
        <v>0</v>
      </c>
      <c r="P60" s="931">
        <f t="shared" si="9"/>
        <v>0</v>
      </c>
      <c r="Q60" s="931">
        <f t="shared" si="9"/>
        <v>0</v>
      </c>
      <c r="R60" s="931">
        <f t="shared" si="9"/>
        <v>0</v>
      </c>
      <c r="S60" s="931">
        <f t="shared" si="9"/>
        <v>0</v>
      </c>
      <c r="T60" s="931">
        <f t="shared" si="9"/>
        <v>0</v>
      </c>
      <c r="U60" s="947">
        <f>SUM(C60:T60)</f>
        <v>8233551</v>
      </c>
      <c r="V60" s="948"/>
      <c r="X60" s="687"/>
    </row>
    <row r="61" spans="1:24" x14ac:dyDescent="0.2">
      <c r="B61" s="676"/>
      <c r="C61" s="935"/>
      <c r="D61" s="935"/>
      <c r="E61" s="935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5"/>
      <c r="U61" s="951"/>
      <c r="V61" s="952"/>
    </row>
    <row r="62" spans="1:24" x14ac:dyDescent="0.2">
      <c r="B62" s="676" t="s">
        <v>300</v>
      </c>
      <c r="C62" s="935">
        <v>0</v>
      </c>
      <c r="D62" s="935">
        <v>0</v>
      </c>
      <c r="E62" s="935">
        <v>0</v>
      </c>
      <c r="F62" s="935">
        <v>0</v>
      </c>
      <c r="G62" s="935">
        <v>0</v>
      </c>
      <c r="H62" s="935">
        <v>0</v>
      </c>
      <c r="I62" s="935">
        <v>0</v>
      </c>
      <c r="J62" s="935">
        <v>0</v>
      </c>
      <c r="K62" s="935">
        <v>0</v>
      </c>
      <c r="L62" s="935">
        <v>0</v>
      </c>
      <c r="M62" s="935">
        <v>18000000</v>
      </c>
      <c r="N62" s="935">
        <v>0</v>
      </c>
      <c r="O62" s="935">
        <v>0</v>
      </c>
      <c r="P62" s="935">
        <v>0</v>
      </c>
      <c r="Q62" s="935">
        <v>0</v>
      </c>
      <c r="R62" s="935">
        <v>0</v>
      </c>
      <c r="S62" s="935">
        <v>0</v>
      </c>
      <c r="T62" s="935">
        <v>0</v>
      </c>
      <c r="U62" s="952" t="s">
        <v>300</v>
      </c>
      <c r="V62" s="935">
        <f>SUM(C62:T62)</f>
        <v>18000000</v>
      </c>
    </row>
    <row r="63" spans="1:24" hidden="1" x14ac:dyDescent="0.2">
      <c r="B63" s="676" t="s">
        <v>408</v>
      </c>
      <c r="C63" s="935">
        <v>0</v>
      </c>
      <c r="D63" s="935">
        <v>0</v>
      </c>
      <c r="E63" s="935">
        <v>0</v>
      </c>
      <c r="F63" s="935">
        <v>0</v>
      </c>
      <c r="G63" s="935">
        <v>0</v>
      </c>
      <c r="H63" s="935">
        <v>0</v>
      </c>
      <c r="I63" s="935">
        <v>0</v>
      </c>
      <c r="J63" s="935">
        <v>0</v>
      </c>
      <c r="K63" s="935">
        <v>0</v>
      </c>
      <c r="L63" s="935">
        <v>0</v>
      </c>
      <c r="M63" s="935">
        <v>0</v>
      </c>
      <c r="N63" s="935">
        <v>0</v>
      </c>
      <c r="O63" s="935">
        <v>0</v>
      </c>
      <c r="P63" s="935">
        <v>0</v>
      </c>
      <c r="Q63" s="935">
        <v>0</v>
      </c>
      <c r="R63" s="935">
        <v>0</v>
      </c>
      <c r="S63" s="935">
        <v>0</v>
      </c>
      <c r="T63" s="935">
        <v>0</v>
      </c>
      <c r="U63" s="952" t="s">
        <v>408</v>
      </c>
      <c r="V63" s="935">
        <f>SUM(C63:T63)</f>
        <v>0</v>
      </c>
    </row>
    <row r="64" spans="1:24" x14ac:dyDescent="0.2">
      <c r="B64" s="676" t="s">
        <v>301</v>
      </c>
      <c r="C64" s="935">
        <v>0</v>
      </c>
      <c r="D64" s="935">
        <v>0</v>
      </c>
      <c r="E64" s="935">
        <v>9100000</v>
      </c>
      <c r="F64" s="935">
        <v>0</v>
      </c>
      <c r="G64" s="935">
        <v>0</v>
      </c>
      <c r="H64" s="935">
        <v>0</v>
      </c>
      <c r="I64" s="935">
        <v>0</v>
      </c>
      <c r="J64" s="935">
        <v>0</v>
      </c>
      <c r="K64" s="935">
        <v>0</v>
      </c>
      <c r="L64" s="935">
        <v>0</v>
      </c>
      <c r="M64" s="935">
        <v>0</v>
      </c>
      <c r="N64" s="935">
        <v>0</v>
      </c>
      <c r="O64" s="935">
        <v>0</v>
      </c>
      <c r="P64" s="935">
        <v>0</v>
      </c>
      <c r="Q64" s="935">
        <v>0</v>
      </c>
      <c r="R64" s="935">
        <v>0</v>
      </c>
      <c r="S64" s="935">
        <v>0</v>
      </c>
      <c r="T64" s="935">
        <v>-9100000</v>
      </c>
      <c r="U64" s="952" t="s">
        <v>301</v>
      </c>
      <c r="V64" s="935">
        <f>SUM(C64:T64)</f>
        <v>0</v>
      </c>
    </row>
    <row r="65" spans="1:24" hidden="1" x14ac:dyDescent="0.2">
      <c r="B65" s="676" t="s">
        <v>661</v>
      </c>
      <c r="C65" s="935">
        <v>0</v>
      </c>
      <c r="D65" s="935">
        <v>0</v>
      </c>
      <c r="E65" s="935">
        <v>0</v>
      </c>
      <c r="F65" s="935">
        <v>0</v>
      </c>
      <c r="G65" s="935">
        <v>0</v>
      </c>
      <c r="H65" s="935">
        <v>0</v>
      </c>
      <c r="I65" s="935">
        <v>0</v>
      </c>
      <c r="J65" s="935">
        <v>0</v>
      </c>
      <c r="K65" s="935">
        <v>0</v>
      </c>
      <c r="L65" s="935">
        <v>0</v>
      </c>
      <c r="M65" s="935">
        <v>0</v>
      </c>
      <c r="N65" s="935">
        <v>0</v>
      </c>
      <c r="O65" s="935">
        <v>0</v>
      </c>
      <c r="P65" s="935">
        <v>0</v>
      </c>
      <c r="Q65" s="935">
        <v>0</v>
      </c>
      <c r="R65" s="935">
        <v>0</v>
      </c>
      <c r="S65" s="935">
        <v>0</v>
      </c>
      <c r="T65" s="935">
        <v>0</v>
      </c>
      <c r="U65" s="952" t="s">
        <v>661</v>
      </c>
      <c r="V65" s="935">
        <f>SUM(C65:T65)</f>
        <v>0</v>
      </c>
    </row>
    <row r="66" spans="1:24" x14ac:dyDescent="0.2">
      <c r="C66" s="935"/>
      <c r="D66" s="935"/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51"/>
      <c r="V66" s="952"/>
    </row>
    <row r="67" spans="1:24" s="667" customFormat="1" x14ac:dyDescent="0.2">
      <c r="B67" s="697" t="s">
        <v>127</v>
      </c>
      <c r="C67" s="931">
        <f>SUM(C61:C66)</f>
        <v>0</v>
      </c>
      <c r="D67" s="931">
        <f t="shared" ref="D67:T67" si="10">SUM(D61:D66)</f>
        <v>0</v>
      </c>
      <c r="E67" s="931">
        <f t="shared" si="10"/>
        <v>9100000</v>
      </c>
      <c r="F67" s="931">
        <f t="shared" si="10"/>
        <v>0</v>
      </c>
      <c r="G67" s="931">
        <f t="shared" si="10"/>
        <v>0</v>
      </c>
      <c r="H67" s="931">
        <f t="shared" si="10"/>
        <v>0</v>
      </c>
      <c r="I67" s="931">
        <f t="shared" si="10"/>
        <v>0</v>
      </c>
      <c r="J67" s="931">
        <f t="shared" si="10"/>
        <v>0</v>
      </c>
      <c r="K67" s="931">
        <f t="shared" si="10"/>
        <v>0</v>
      </c>
      <c r="L67" s="931">
        <f t="shared" si="10"/>
        <v>0</v>
      </c>
      <c r="M67" s="931">
        <f t="shared" si="10"/>
        <v>18000000</v>
      </c>
      <c r="N67" s="931">
        <f t="shared" si="10"/>
        <v>0</v>
      </c>
      <c r="O67" s="931">
        <f t="shared" si="10"/>
        <v>0</v>
      </c>
      <c r="P67" s="931">
        <f t="shared" si="10"/>
        <v>0</v>
      </c>
      <c r="Q67" s="931">
        <f t="shared" si="10"/>
        <v>0</v>
      </c>
      <c r="R67" s="931">
        <f t="shared" si="10"/>
        <v>0</v>
      </c>
      <c r="S67" s="931">
        <f t="shared" si="10"/>
        <v>0</v>
      </c>
      <c r="T67" s="931">
        <f t="shared" si="10"/>
        <v>-9100000</v>
      </c>
      <c r="U67" s="947">
        <f>SUM(C67:T67)</f>
        <v>18000000</v>
      </c>
      <c r="V67" s="948"/>
      <c r="X67" s="687"/>
    </row>
    <row r="68" spans="1:24" x14ac:dyDescent="0.2">
      <c r="C68" s="935"/>
      <c r="D68" s="935"/>
      <c r="E68" s="935"/>
      <c r="F68" s="935"/>
      <c r="G68" s="935"/>
      <c r="H68" s="935"/>
      <c r="I68" s="935"/>
      <c r="J68" s="935"/>
      <c r="K68" s="935"/>
      <c r="L68" s="935"/>
      <c r="M68" s="935"/>
      <c r="N68" s="935"/>
      <c r="O68" s="935"/>
      <c r="P68" s="935"/>
      <c r="Q68" s="935"/>
      <c r="R68" s="935"/>
      <c r="S68" s="935"/>
      <c r="T68" s="935"/>
      <c r="U68" s="951"/>
      <c r="V68" s="952"/>
    </row>
    <row r="69" spans="1:24" s="667" customFormat="1" x14ac:dyDescent="0.2">
      <c r="B69" s="678" t="s">
        <v>128</v>
      </c>
      <c r="C69" s="931">
        <f>SUM(C67,C60,C46,C33)</f>
        <v>77632111</v>
      </c>
      <c r="D69" s="931">
        <f t="shared" ref="D69:T69" si="11">SUM(D67,D60,D46,D33)</f>
        <v>8290475</v>
      </c>
      <c r="E69" s="931">
        <f t="shared" si="11"/>
        <v>12973831</v>
      </c>
      <c r="F69" s="931">
        <f t="shared" si="11"/>
        <v>500000</v>
      </c>
      <c r="G69" s="931">
        <f t="shared" si="11"/>
        <v>4440301</v>
      </c>
      <c r="H69" s="931">
        <f t="shared" si="11"/>
        <v>0</v>
      </c>
      <c r="I69" s="931">
        <f t="shared" si="11"/>
        <v>3511250</v>
      </c>
      <c r="J69" s="931">
        <f t="shared" si="11"/>
        <v>192325</v>
      </c>
      <c r="K69" s="931">
        <f t="shared" si="11"/>
        <v>1800000</v>
      </c>
      <c r="L69" s="931">
        <f t="shared" si="11"/>
        <v>4158316</v>
      </c>
      <c r="M69" s="931">
        <f t="shared" si="11"/>
        <v>18000000</v>
      </c>
      <c r="N69" s="931">
        <f t="shared" si="11"/>
        <v>798000</v>
      </c>
      <c r="O69" s="931">
        <f t="shared" si="11"/>
        <v>9600</v>
      </c>
      <c r="P69" s="931">
        <f t="shared" si="11"/>
        <v>427000</v>
      </c>
      <c r="Q69" s="931">
        <f t="shared" si="11"/>
        <v>590000</v>
      </c>
      <c r="R69" s="931">
        <f t="shared" si="11"/>
        <v>155000</v>
      </c>
      <c r="S69" s="931">
        <f t="shared" si="11"/>
        <v>0</v>
      </c>
      <c r="T69" s="931">
        <f t="shared" si="11"/>
        <v>-9100000</v>
      </c>
      <c r="U69" s="947">
        <f>SUM(U33:U68)</f>
        <v>124378209</v>
      </c>
      <c r="V69" s="948"/>
      <c r="X69" s="687"/>
    </row>
    <row r="70" spans="1:24" s="667" customFormat="1" x14ac:dyDescent="0.2">
      <c r="B70" s="678"/>
      <c r="C70" s="931"/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47"/>
      <c r="V70" s="948"/>
      <c r="X70" s="687"/>
    </row>
    <row r="71" spans="1:24" s="695" customFormat="1" x14ac:dyDescent="0.2">
      <c r="A71" s="698"/>
      <c r="B71" s="695" t="s">
        <v>662</v>
      </c>
      <c r="C71" s="937">
        <v>0</v>
      </c>
      <c r="D71" s="937">
        <v>0</v>
      </c>
      <c r="E71" s="937">
        <v>0</v>
      </c>
      <c r="F71" s="937">
        <v>0</v>
      </c>
      <c r="G71" s="937">
        <v>0</v>
      </c>
      <c r="H71" s="937">
        <v>0</v>
      </c>
      <c r="I71" s="937">
        <v>0</v>
      </c>
      <c r="J71" s="937">
        <v>0</v>
      </c>
      <c r="K71" s="937">
        <v>0</v>
      </c>
      <c r="L71" s="937">
        <v>0</v>
      </c>
      <c r="M71" s="937">
        <v>0</v>
      </c>
      <c r="N71" s="937">
        <v>0</v>
      </c>
      <c r="O71" s="937">
        <v>0</v>
      </c>
      <c r="P71" s="937">
        <v>0</v>
      </c>
      <c r="Q71" s="937">
        <v>0</v>
      </c>
      <c r="R71" s="937">
        <v>0</v>
      </c>
      <c r="S71" s="937">
        <v>0</v>
      </c>
      <c r="T71" s="937">
        <v>0</v>
      </c>
      <c r="U71" s="953" t="str">
        <f t="shared" ref="U71:U76" si="12">B71</f>
        <v>Reserved Net Proceeds</v>
      </c>
      <c r="V71" s="953">
        <f t="shared" ref="V71:V76" si="13">SUM(C71:T71)</f>
        <v>0</v>
      </c>
      <c r="X71" s="696"/>
    </row>
    <row r="72" spans="1:24" s="695" customFormat="1" x14ac:dyDescent="0.2">
      <c r="A72" s="698"/>
      <c r="B72" s="695" t="s">
        <v>663</v>
      </c>
      <c r="C72" s="937">
        <v>0</v>
      </c>
      <c r="D72" s="937">
        <v>0</v>
      </c>
      <c r="E72" s="937">
        <v>0</v>
      </c>
      <c r="F72" s="937">
        <v>0</v>
      </c>
      <c r="G72" s="937">
        <v>0</v>
      </c>
      <c r="H72" s="937">
        <v>0</v>
      </c>
      <c r="I72" s="937">
        <v>0</v>
      </c>
      <c r="J72" s="937">
        <v>0</v>
      </c>
      <c r="K72" s="937">
        <v>0</v>
      </c>
      <c r="L72" s="937">
        <v>0</v>
      </c>
      <c r="M72" s="937">
        <v>0</v>
      </c>
      <c r="N72" s="937">
        <v>0</v>
      </c>
      <c r="O72" s="937">
        <v>0</v>
      </c>
      <c r="P72" s="937">
        <v>0</v>
      </c>
      <c r="Q72" s="937">
        <v>0</v>
      </c>
      <c r="R72" s="937">
        <v>0</v>
      </c>
      <c r="S72" s="937">
        <v>0</v>
      </c>
      <c r="T72" s="937">
        <v>0</v>
      </c>
      <c r="U72" s="953" t="str">
        <f t="shared" si="12"/>
        <v>Reserved Fund Balance - PIRC</v>
      </c>
      <c r="V72" s="953">
        <f t="shared" si="13"/>
        <v>0</v>
      </c>
      <c r="X72" s="696"/>
    </row>
    <row r="73" spans="1:24" s="695" customFormat="1" x14ac:dyDescent="0.2">
      <c r="A73" s="698"/>
      <c r="B73" s="695" t="s">
        <v>303</v>
      </c>
      <c r="C73" s="937">
        <v>0</v>
      </c>
      <c r="D73" s="937">
        <v>0</v>
      </c>
      <c r="E73" s="937">
        <v>0</v>
      </c>
      <c r="F73" s="937">
        <v>0</v>
      </c>
      <c r="G73" s="937">
        <v>0</v>
      </c>
      <c r="H73" s="937">
        <v>0</v>
      </c>
      <c r="I73" s="937">
        <v>0</v>
      </c>
      <c r="J73" s="937">
        <v>0</v>
      </c>
      <c r="K73" s="937">
        <v>0</v>
      </c>
      <c r="L73" s="937">
        <v>0</v>
      </c>
      <c r="M73" s="937">
        <v>0</v>
      </c>
      <c r="N73" s="937">
        <v>0</v>
      </c>
      <c r="O73" s="937">
        <v>0</v>
      </c>
      <c r="P73" s="937">
        <v>0</v>
      </c>
      <c r="Q73" s="937">
        <v>0</v>
      </c>
      <c r="R73" s="937">
        <v>0</v>
      </c>
      <c r="S73" s="937">
        <v>0</v>
      </c>
      <c r="T73" s="937">
        <v>0</v>
      </c>
      <c r="U73" s="953" t="str">
        <f t="shared" si="12"/>
        <v>Reserved Opening Balance</v>
      </c>
      <c r="V73" s="953">
        <f t="shared" si="13"/>
        <v>0</v>
      </c>
      <c r="X73" s="696"/>
    </row>
    <row r="74" spans="1:24" s="695" customFormat="1" x14ac:dyDescent="0.2">
      <c r="A74" s="698"/>
      <c r="B74" s="695" t="s">
        <v>600</v>
      </c>
      <c r="C74" s="937">
        <v>0</v>
      </c>
      <c r="D74" s="937">
        <v>0</v>
      </c>
      <c r="E74" s="937">
        <v>0</v>
      </c>
      <c r="F74" s="937">
        <v>0</v>
      </c>
      <c r="G74" s="937">
        <v>0</v>
      </c>
      <c r="H74" s="937">
        <v>0</v>
      </c>
      <c r="I74" s="937">
        <v>0</v>
      </c>
      <c r="J74" s="937">
        <v>0</v>
      </c>
      <c r="K74" s="937">
        <v>0</v>
      </c>
      <c r="L74" s="937">
        <v>0</v>
      </c>
      <c r="M74" s="937">
        <v>0</v>
      </c>
      <c r="N74" s="937">
        <v>0</v>
      </c>
      <c r="O74" s="937">
        <v>0</v>
      </c>
      <c r="P74" s="937">
        <v>0</v>
      </c>
      <c r="Q74" s="937">
        <v>0</v>
      </c>
      <c r="R74" s="937">
        <v>0</v>
      </c>
      <c r="S74" s="937">
        <v>0</v>
      </c>
      <c r="T74" s="937">
        <v>0</v>
      </c>
      <c r="U74" s="953" t="str">
        <f t="shared" si="12"/>
        <v>Unreserved Opening Balance</v>
      </c>
      <c r="V74" s="953">
        <f t="shared" si="13"/>
        <v>0</v>
      </c>
      <c r="X74" s="696"/>
    </row>
    <row r="75" spans="1:24" s="695" customFormat="1" x14ac:dyDescent="0.2">
      <c r="A75" s="698"/>
      <c r="B75" s="695" t="s">
        <v>304</v>
      </c>
      <c r="C75" s="937">
        <v>7500000</v>
      </c>
      <c r="D75" s="937">
        <v>5165114</v>
      </c>
      <c r="E75" s="937">
        <v>22628</v>
      </c>
      <c r="F75" s="937">
        <v>60000</v>
      </c>
      <c r="G75" s="937">
        <v>0</v>
      </c>
      <c r="H75" s="937">
        <v>104135</v>
      </c>
      <c r="I75" s="937">
        <v>757192</v>
      </c>
      <c r="J75" s="937">
        <v>864</v>
      </c>
      <c r="K75" s="937">
        <v>0</v>
      </c>
      <c r="L75" s="937">
        <v>0</v>
      </c>
      <c r="M75" s="937">
        <v>942973</v>
      </c>
      <c r="N75" s="937">
        <v>2346493</v>
      </c>
      <c r="O75" s="937">
        <v>173495</v>
      </c>
      <c r="P75" s="937">
        <v>1202258</v>
      </c>
      <c r="Q75" s="937">
        <v>1133942</v>
      </c>
      <c r="R75" s="937">
        <v>854890</v>
      </c>
      <c r="S75" s="937">
        <v>75933</v>
      </c>
      <c r="T75" s="937">
        <v>0</v>
      </c>
      <c r="U75" s="953" t="str">
        <f t="shared" si="12"/>
        <v>Opening Balance (Other)</v>
      </c>
      <c r="V75" s="953">
        <f t="shared" si="13"/>
        <v>20339917</v>
      </c>
      <c r="X75" s="696"/>
    </row>
    <row r="76" spans="1:24" s="695" customFormat="1" x14ac:dyDescent="0.2">
      <c r="A76" s="698"/>
      <c r="B76" s="695" t="s">
        <v>305</v>
      </c>
      <c r="C76" s="937">
        <v>0</v>
      </c>
      <c r="D76" s="937">
        <v>0</v>
      </c>
      <c r="E76" s="937">
        <v>0</v>
      </c>
      <c r="F76" s="937">
        <v>0</v>
      </c>
      <c r="G76" s="937">
        <v>0</v>
      </c>
      <c r="H76" s="937">
        <v>0</v>
      </c>
      <c r="I76" s="937">
        <v>0</v>
      </c>
      <c r="J76" s="937">
        <v>0</v>
      </c>
      <c r="K76" s="937">
        <v>0</v>
      </c>
      <c r="L76" s="937">
        <v>0</v>
      </c>
      <c r="M76" s="937">
        <v>0</v>
      </c>
      <c r="N76" s="937">
        <v>0</v>
      </c>
      <c r="O76" s="937">
        <v>0</v>
      </c>
      <c r="P76" s="937">
        <v>0</v>
      </c>
      <c r="Q76" s="937">
        <v>0</v>
      </c>
      <c r="R76" s="937">
        <v>0</v>
      </c>
      <c r="S76" s="937">
        <v>0</v>
      </c>
      <c r="T76" s="937">
        <v>0</v>
      </c>
      <c r="U76" s="953" t="str">
        <f t="shared" si="12"/>
        <v>Reverted to State</v>
      </c>
      <c r="V76" s="953">
        <f t="shared" si="13"/>
        <v>0</v>
      </c>
      <c r="X76" s="696"/>
    </row>
    <row r="77" spans="1:24" x14ac:dyDescent="0.2">
      <c r="C77" s="935"/>
      <c r="D77" s="935"/>
      <c r="E77" s="935"/>
      <c r="F77" s="935"/>
      <c r="G77" s="935"/>
      <c r="H77" s="935"/>
      <c r="I77" s="935"/>
      <c r="J77" s="935"/>
      <c r="K77" s="935"/>
      <c r="L77" s="935"/>
      <c r="M77" s="935"/>
      <c r="N77" s="935"/>
      <c r="O77" s="935"/>
      <c r="P77" s="935"/>
      <c r="Q77" s="935"/>
      <c r="R77" s="935"/>
      <c r="S77" s="935"/>
      <c r="T77" s="935"/>
      <c r="U77" s="952"/>
      <c r="V77" s="952"/>
    </row>
    <row r="78" spans="1:24" s="667" customFormat="1" x14ac:dyDescent="0.2">
      <c r="B78" s="697" t="s">
        <v>129</v>
      </c>
      <c r="C78" s="19">
        <f>SUM(C70:C77)</f>
        <v>7500000</v>
      </c>
      <c r="D78" s="19">
        <f t="shared" ref="D78:T78" si="14">SUM(D70:D77)</f>
        <v>5165114</v>
      </c>
      <c r="E78" s="19">
        <f t="shared" si="14"/>
        <v>22628</v>
      </c>
      <c r="F78" s="19">
        <f t="shared" si="14"/>
        <v>60000</v>
      </c>
      <c r="G78" s="19">
        <f t="shared" si="14"/>
        <v>0</v>
      </c>
      <c r="H78" s="19">
        <f t="shared" si="14"/>
        <v>104135</v>
      </c>
      <c r="I78" s="19">
        <f t="shared" si="14"/>
        <v>757192</v>
      </c>
      <c r="J78" s="19">
        <f t="shared" si="14"/>
        <v>864</v>
      </c>
      <c r="K78" s="19">
        <f t="shared" si="14"/>
        <v>0</v>
      </c>
      <c r="L78" s="19">
        <f t="shared" si="14"/>
        <v>0</v>
      </c>
      <c r="M78" s="19">
        <f t="shared" si="14"/>
        <v>942973</v>
      </c>
      <c r="N78" s="19">
        <f t="shared" si="14"/>
        <v>2346493</v>
      </c>
      <c r="O78" s="19">
        <f t="shared" si="14"/>
        <v>173495</v>
      </c>
      <c r="P78" s="19">
        <f t="shared" si="14"/>
        <v>1202258</v>
      </c>
      <c r="Q78" s="19">
        <f t="shared" si="14"/>
        <v>1133942</v>
      </c>
      <c r="R78" s="19">
        <f t="shared" si="14"/>
        <v>854890</v>
      </c>
      <c r="S78" s="19">
        <f t="shared" si="14"/>
        <v>75933</v>
      </c>
      <c r="T78" s="19">
        <f t="shared" si="14"/>
        <v>0</v>
      </c>
      <c r="U78" s="19">
        <f>SUM(C78:T78)</f>
        <v>20339917</v>
      </c>
      <c r="V78" s="699"/>
      <c r="X78" s="687"/>
    </row>
    <row r="80" spans="1:24" x14ac:dyDescent="0.2">
      <c r="A80" s="680"/>
      <c r="B80" s="681" t="s">
        <v>306</v>
      </c>
      <c r="C80" s="24">
        <f>SUM(C78,C69)</f>
        <v>85132111</v>
      </c>
      <c r="D80" s="24">
        <f t="shared" ref="D80:T80" si="15">SUM(D78,D69)</f>
        <v>13455589</v>
      </c>
      <c r="E80" s="24">
        <f t="shared" si="15"/>
        <v>12996459</v>
      </c>
      <c r="F80" s="24">
        <f t="shared" si="15"/>
        <v>560000</v>
      </c>
      <c r="G80" s="24">
        <f t="shared" si="15"/>
        <v>4440301</v>
      </c>
      <c r="H80" s="24">
        <f t="shared" si="15"/>
        <v>104135</v>
      </c>
      <c r="I80" s="24">
        <f t="shared" si="15"/>
        <v>4268442</v>
      </c>
      <c r="J80" s="24">
        <f t="shared" si="15"/>
        <v>193189</v>
      </c>
      <c r="K80" s="24">
        <f t="shared" si="15"/>
        <v>1800000</v>
      </c>
      <c r="L80" s="24">
        <f t="shared" si="15"/>
        <v>4158316</v>
      </c>
      <c r="M80" s="24">
        <f t="shared" si="15"/>
        <v>18942973</v>
      </c>
      <c r="N80" s="24">
        <f t="shared" si="15"/>
        <v>3144493</v>
      </c>
      <c r="O80" s="24">
        <f t="shared" si="15"/>
        <v>183095</v>
      </c>
      <c r="P80" s="24">
        <f t="shared" si="15"/>
        <v>1629258</v>
      </c>
      <c r="Q80" s="24">
        <f t="shared" si="15"/>
        <v>1723942</v>
      </c>
      <c r="R80" s="24">
        <f t="shared" si="15"/>
        <v>1009890</v>
      </c>
      <c r="S80" s="24">
        <f t="shared" si="15"/>
        <v>75933</v>
      </c>
      <c r="T80" s="24">
        <f t="shared" si="15"/>
        <v>-9100000</v>
      </c>
      <c r="U80" s="954">
        <f>SUM(C80:T80)</f>
        <v>144718126</v>
      </c>
      <c r="V80" s="912">
        <f>F1-U80</f>
        <v>0</v>
      </c>
      <c r="W80" s="677"/>
    </row>
    <row r="81" spans="1:24" s="667" customFormat="1" x14ac:dyDescent="0.2">
      <c r="A81" s="683"/>
      <c r="B81" s="684" t="s">
        <v>839</v>
      </c>
      <c r="C81" s="285">
        <f t="shared" ref="C81:T81" si="16">SUM(C85:C220)</f>
        <v>85132111</v>
      </c>
      <c r="D81" s="285">
        <f t="shared" si="16"/>
        <v>13455589</v>
      </c>
      <c r="E81" s="285">
        <f t="shared" si="16"/>
        <v>12996459</v>
      </c>
      <c r="F81" s="285">
        <f t="shared" si="16"/>
        <v>560000</v>
      </c>
      <c r="G81" s="285">
        <f t="shared" si="16"/>
        <v>4440301</v>
      </c>
      <c r="H81" s="285">
        <f t="shared" si="16"/>
        <v>104135</v>
      </c>
      <c r="I81" s="285">
        <f t="shared" si="16"/>
        <v>4268442</v>
      </c>
      <c r="J81" s="285">
        <f t="shared" si="16"/>
        <v>193189</v>
      </c>
      <c r="K81" s="285">
        <f t="shared" si="16"/>
        <v>1800000</v>
      </c>
      <c r="L81" s="285">
        <f t="shared" si="16"/>
        <v>4158316</v>
      </c>
      <c r="M81" s="285">
        <f t="shared" si="16"/>
        <v>18942973</v>
      </c>
      <c r="N81" s="285">
        <f t="shared" si="16"/>
        <v>3144493</v>
      </c>
      <c r="O81" s="285">
        <f t="shared" si="16"/>
        <v>183095</v>
      </c>
      <c r="P81" s="285">
        <f t="shared" si="16"/>
        <v>1629258</v>
      </c>
      <c r="Q81" s="285">
        <f t="shared" si="16"/>
        <v>1723942</v>
      </c>
      <c r="R81" s="285">
        <f t="shared" si="16"/>
        <v>1009890</v>
      </c>
      <c r="S81" s="285">
        <f t="shared" si="16"/>
        <v>75933</v>
      </c>
      <c r="T81" s="285">
        <f t="shared" si="16"/>
        <v>-9100000</v>
      </c>
      <c r="U81" s="955">
        <f>SUM(C81:T81)</f>
        <v>144718126</v>
      </c>
      <c r="X81" s="687"/>
    </row>
    <row r="82" spans="1:24" x14ac:dyDescent="0.2">
      <c r="A82" s="686"/>
      <c r="B82" s="946" t="s">
        <v>132</v>
      </c>
      <c r="C82" s="909">
        <f t="shared" ref="C82:U82" si="17">C80-C81</f>
        <v>0</v>
      </c>
      <c r="D82" s="909">
        <f>D80-D81</f>
        <v>0</v>
      </c>
      <c r="E82" s="909">
        <f>E80-E81</f>
        <v>0</v>
      </c>
      <c r="F82" s="909">
        <f t="shared" ref="F82" si="18">F80-F81</f>
        <v>0</v>
      </c>
      <c r="G82" s="909">
        <f>G80-G81</f>
        <v>0</v>
      </c>
      <c r="H82" s="909">
        <f>H80-H81</f>
        <v>0</v>
      </c>
      <c r="I82" s="909">
        <f>I80-I81</f>
        <v>0</v>
      </c>
      <c r="J82" s="909">
        <f t="shared" ref="J82:S82" si="19">J80-J81</f>
        <v>0</v>
      </c>
      <c r="K82" s="909">
        <f t="shared" si="19"/>
        <v>0</v>
      </c>
      <c r="L82" s="909">
        <f t="shared" si="19"/>
        <v>0</v>
      </c>
      <c r="M82" s="909">
        <f t="shared" si="19"/>
        <v>0</v>
      </c>
      <c r="N82" s="909">
        <f t="shared" si="19"/>
        <v>0</v>
      </c>
      <c r="O82" s="909">
        <f t="shared" si="19"/>
        <v>0</v>
      </c>
      <c r="P82" s="909">
        <f t="shared" si="19"/>
        <v>0</v>
      </c>
      <c r="Q82" s="909">
        <f t="shared" si="19"/>
        <v>0</v>
      </c>
      <c r="R82" s="909">
        <f t="shared" si="19"/>
        <v>0</v>
      </c>
      <c r="S82" s="909">
        <f t="shared" si="19"/>
        <v>0</v>
      </c>
      <c r="T82" s="909">
        <f>T80-T81</f>
        <v>0</v>
      </c>
      <c r="U82" s="955">
        <f t="shared" si="17"/>
        <v>0</v>
      </c>
    </row>
    <row r="84" spans="1:24" x14ac:dyDescent="0.2">
      <c r="B84" s="667" t="s">
        <v>307</v>
      </c>
    </row>
    <row r="85" spans="1:24" x14ac:dyDescent="0.2">
      <c r="A85" s="667">
        <v>100</v>
      </c>
      <c r="B85" s="668" t="s">
        <v>134</v>
      </c>
      <c r="C85" s="935">
        <v>33030498.5</v>
      </c>
      <c r="D85" s="935">
        <v>0</v>
      </c>
      <c r="E85" s="935">
        <v>0</v>
      </c>
      <c r="F85" s="935">
        <v>0</v>
      </c>
      <c r="G85" s="935">
        <v>468859</v>
      </c>
      <c r="H85" s="935">
        <v>0</v>
      </c>
      <c r="I85" s="935">
        <v>0</v>
      </c>
      <c r="J85" s="935">
        <v>0</v>
      </c>
      <c r="K85" s="935">
        <v>1800000</v>
      </c>
      <c r="L85" s="935">
        <v>2057095</v>
      </c>
      <c r="M85" s="935">
        <v>0</v>
      </c>
      <c r="N85" s="935">
        <v>0</v>
      </c>
      <c r="O85" s="935">
        <v>0</v>
      </c>
      <c r="P85" s="935">
        <v>0</v>
      </c>
      <c r="Q85" s="935">
        <v>0</v>
      </c>
      <c r="R85" s="935">
        <v>0</v>
      </c>
      <c r="S85" s="935">
        <v>0</v>
      </c>
      <c r="T85" s="935">
        <v>0</v>
      </c>
      <c r="U85" s="935">
        <f t="shared" ref="U85:U129" si="20">SUM(C85:T85)</f>
        <v>37356452.5</v>
      </c>
    </row>
    <row r="86" spans="1:24" x14ac:dyDescent="0.2">
      <c r="A86" s="667">
        <v>200</v>
      </c>
      <c r="B86" s="668" t="s">
        <v>135</v>
      </c>
      <c r="C86" s="935">
        <v>0</v>
      </c>
      <c r="D86" s="935">
        <v>0</v>
      </c>
      <c r="E86" s="935">
        <v>9229405.5</v>
      </c>
      <c r="F86" s="935">
        <v>0</v>
      </c>
      <c r="G86" s="935">
        <v>1166036</v>
      </c>
      <c r="H86" s="935">
        <v>0</v>
      </c>
      <c r="I86" s="935">
        <v>0</v>
      </c>
      <c r="J86" s="935">
        <v>0</v>
      </c>
      <c r="K86" s="935">
        <v>0</v>
      </c>
      <c r="L86" s="935">
        <v>0</v>
      </c>
      <c r="M86" s="935">
        <v>0</v>
      </c>
      <c r="N86" s="935">
        <v>0</v>
      </c>
      <c r="O86" s="935">
        <v>0</v>
      </c>
      <c r="P86" s="935">
        <v>0</v>
      </c>
      <c r="Q86" s="935">
        <v>0</v>
      </c>
      <c r="R86" s="935">
        <v>0</v>
      </c>
      <c r="S86" s="935">
        <v>0</v>
      </c>
      <c r="T86" s="935">
        <v>0</v>
      </c>
      <c r="U86" s="935">
        <f t="shared" si="20"/>
        <v>10395441.5</v>
      </c>
    </row>
    <row r="87" spans="1:24" hidden="1" x14ac:dyDescent="0.2">
      <c r="A87" s="667" t="s">
        <v>10</v>
      </c>
      <c r="B87" s="668" t="s">
        <v>136</v>
      </c>
      <c r="C87" s="935">
        <v>0</v>
      </c>
      <c r="D87" s="935">
        <v>0</v>
      </c>
      <c r="E87" s="935">
        <v>0</v>
      </c>
      <c r="F87" s="935">
        <v>0</v>
      </c>
      <c r="G87" s="935">
        <v>0</v>
      </c>
      <c r="H87" s="935">
        <v>0</v>
      </c>
      <c r="I87" s="935">
        <v>0</v>
      </c>
      <c r="J87" s="935">
        <v>0</v>
      </c>
      <c r="K87" s="935">
        <v>0</v>
      </c>
      <c r="L87" s="935">
        <v>0</v>
      </c>
      <c r="M87" s="935">
        <v>0</v>
      </c>
      <c r="N87" s="935">
        <v>0</v>
      </c>
      <c r="O87" s="935">
        <v>0</v>
      </c>
      <c r="P87" s="935">
        <v>0</v>
      </c>
      <c r="Q87" s="935">
        <v>0</v>
      </c>
      <c r="R87" s="935">
        <v>0</v>
      </c>
      <c r="S87" s="935">
        <v>0</v>
      </c>
      <c r="T87" s="935">
        <v>0</v>
      </c>
      <c r="U87" s="935">
        <f t="shared" si="20"/>
        <v>0</v>
      </c>
    </row>
    <row r="88" spans="1:24" x14ac:dyDescent="0.2">
      <c r="A88" s="667">
        <v>270</v>
      </c>
      <c r="B88" s="668" t="s">
        <v>137</v>
      </c>
      <c r="C88" s="935">
        <v>279754</v>
      </c>
      <c r="D88" s="935">
        <v>0</v>
      </c>
      <c r="E88" s="935">
        <v>0</v>
      </c>
      <c r="F88" s="935">
        <v>0</v>
      </c>
      <c r="G88" s="935">
        <v>0</v>
      </c>
      <c r="H88" s="935">
        <v>0</v>
      </c>
      <c r="I88" s="935">
        <v>0</v>
      </c>
      <c r="J88" s="935">
        <v>0</v>
      </c>
      <c r="K88" s="935">
        <v>0</v>
      </c>
      <c r="L88" s="935">
        <v>0</v>
      </c>
      <c r="M88" s="935">
        <v>0</v>
      </c>
      <c r="N88" s="935">
        <v>0</v>
      </c>
      <c r="O88" s="935">
        <v>0</v>
      </c>
      <c r="P88" s="935">
        <v>0</v>
      </c>
      <c r="Q88" s="935">
        <v>0</v>
      </c>
      <c r="R88" s="935">
        <v>0</v>
      </c>
      <c r="S88" s="935">
        <v>0</v>
      </c>
      <c r="T88" s="935">
        <v>0</v>
      </c>
      <c r="U88" s="935">
        <f t="shared" si="20"/>
        <v>279754</v>
      </c>
    </row>
    <row r="89" spans="1:24" hidden="1" x14ac:dyDescent="0.2">
      <c r="A89" s="667" t="s">
        <v>10</v>
      </c>
      <c r="B89" s="668" t="s">
        <v>138</v>
      </c>
      <c r="C89" s="935">
        <v>0</v>
      </c>
      <c r="D89" s="935">
        <v>0</v>
      </c>
      <c r="E89" s="935">
        <v>0</v>
      </c>
      <c r="F89" s="935">
        <v>0</v>
      </c>
      <c r="G89" s="935">
        <v>0</v>
      </c>
      <c r="H89" s="935">
        <v>0</v>
      </c>
      <c r="I89" s="935">
        <v>0</v>
      </c>
      <c r="J89" s="935">
        <v>0</v>
      </c>
      <c r="K89" s="935">
        <v>0</v>
      </c>
      <c r="L89" s="935">
        <v>0</v>
      </c>
      <c r="M89" s="935">
        <v>0</v>
      </c>
      <c r="N89" s="935">
        <v>0</v>
      </c>
      <c r="O89" s="935">
        <v>0</v>
      </c>
      <c r="P89" s="935">
        <v>0</v>
      </c>
      <c r="Q89" s="935">
        <v>0</v>
      </c>
      <c r="R89" s="935">
        <v>0</v>
      </c>
      <c r="S89" s="935">
        <v>0</v>
      </c>
      <c r="T89" s="935">
        <v>0</v>
      </c>
      <c r="U89" s="935">
        <f t="shared" si="20"/>
        <v>0</v>
      </c>
    </row>
    <row r="90" spans="1:24" x14ac:dyDescent="0.2">
      <c r="A90" s="667">
        <v>300</v>
      </c>
      <c r="B90" s="668" t="s">
        <v>139</v>
      </c>
      <c r="C90" s="935">
        <v>1694891</v>
      </c>
      <c r="D90" s="935">
        <v>0</v>
      </c>
      <c r="E90" s="935">
        <v>0</v>
      </c>
      <c r="F90" s="935">
        <v>0</v>
      </c>
      <c r="G90" s="935">
        <v>0</v>
      </c>
      <c r="H90" s="935">
        <v>0</v>
      </c>
      <c r="I90" s="935">
        <v>0</v>
      </c>
      <c r="J90" s="935">
        <v>0</v>
      </c>
      <c r="K90" s="935">
        <v>0</v>
      </c>
      <c r="L90" s="935">
        <v>0</v>
      </c>
      <c r="M90" s="935">
        <v>0</v>
      </c>
      <c r="N90" s="935">
        <v>0</v>
      </c>
      <c r="O90" s="935">
        <v>0</v>
      </c>
      <c r="P90" s="935">
        <v>0</v>
      </c>
      <c r="Q90" s="935">
        <v>0</v>
      </c>
      <c r="R90" s="935">
        <v>0</v>
      </c>
      <c r="S90" s="935">
        <v>0</v>
      </c>
      <c r="T90" s="935">
        <v>0</v>
      </c>
      <c r="U90" s="935">
        <f t="shared" si="20"/>
        <v>1694891</v>
      </c>
    </row>
    <row r="91" spans="1:24" x14ac:dyDescent="0.2">
      <c r="A91" s="667">
        <v>400</v>
      </c>
      <c r="B91" s="668" t="s">
        <v>140</v>
      </c>
      <c r="C91" s="935">
        <v>1873145</v>
      </c>
      <c r="D91" s="935">
        <v>0</v>
      </c>
      <c r="E91" s="935">
        <v>0</v>
      </c>
      <c r="F91" s="935">
        <v>0</v>
      </c>
      <c r="G91" s="935">
        <v>53</v>
      </c>
      <c r="H91" s="935">
        <v>0</v>
      </c>
      <c r="I91" s="935">
        <v>0</v>
      </c>
      <c r="J91" s="935">
        <v>0</v>
      </c>
      <c r="K91" s="935">
        <v>0</v>
      </c>
      <c r="L91" s="935">
        <v>368159</v>
      </c>
      <c r="M91" s="935">
        <v>0</v>
      </c>
      <c r="N91" s="935">
        <v>0</v>
      </c>
      <c r="O91" s="935">
        <v>0</v>
      </c>
      <c r="P91" s="935">
        <v>0</v>
      </c>
      <c r="Q91" s="935">
        <v>0</v>
      </c>
      <c r="R91" s="935">
        <v>0</v>
      </c>
      <c r="S91" s="935">
        <v>0</v>
      </c>
      <c r="T91" s="935">
        <v>0</v>
      </c>
      <c r="U91" s="935">
        <f t="shared" si="20"/>
        <v>2241357</v>
      </c>
    </row>
    <row r="92" spans="1:24" hidden="1" x14ac:dyDescent="0.2">
      <c r="A92" s="667" t="s">
        <v>10</v>
      </c>
      <c r="B92" s="668" t="s">
        <v>141</v>
      </c>
      <c r="C92" s="935">
        <v>0</v>
      </c>
      <c r="D92" s="935">
        <v>0</v>
      </c>
      <c r="E92" s="935">
        <v>0</v>
      </c>
      <c r="F92" s="935">
        <v>0</v>
      </c>
      <c r="G92" s="935">
        <v>0</v>
      </c>
      <c r="H92" s="935">
        <v>0</v>
      </c>
      <c r="I92" s="935">
        <v>0</v>
      </c>
      <c r="J92" s="935">
        <v>0</v>
      </c>
      <c r="K92" s="935">
        <v>0</v>
      </c>
      <c r="L92" s="935">
        <v>0</v>
      </c>
      <c r="M92" s="935">
        <v>0</v>
      </c>
      <c r="N92" s="935">
        <v>0</v>
      </c>
      <c r="O92" s="935">
        <v>0</v>
      </c>
      <c r="P92" s="935">
        <v>0</v>
      </c>
      <c r="Q92" s="935">
        <v>0</v>
      </c>
      <c r="R92" s="935">
        <v>0</v>
      </c>
      <c r="S92" s="935">
        <v>0</v>
      </c>
      <c r="T92" s="935">
        <v>0</v>
      </c>
      <c r="U92" s="935">
        <f t="shared" si="20"/>
        <v>0</v>
      </c>
    </row>
    <row r="93" spans="1:24" hidden="1" x14ac:dyDescent="0.2">
      <c r="A93" s="667" t="s">
        <v>10</v>
      </c>
      <c r="B93" s="668" t="s">
        <v>142</v>
      </c>
      <c r="C93" s="935">
        <v>0</v>
      </c>
      <c r="D93" s="935">
        <v>0</v>
      </c>
      <c r="E93" s="935">
        <v>0</v>
      </c>
      <c r="F93" s="935">
        <v>0</v>
      </c>
      <c r="G93" s="935">
        <v>0</v>
      </c>
      <c r="H93" s="935">
        <v>0</v>
      </c>
      <c r="I93" s="935">
        <v>0</v>
      </c>
      <c r="J93" s="935">
        <v>0</v>
      </c>
      <c r="K93" s="935">
        <v>0</v>
      </c>
      <c r="L93" s="935">
        <v>0</v>
      </c>
      <c r="M93" s="935">
        <v>0</v>
      </c>
      <c r="N93" s="935">
        <v>0</v>
      </c>
      <c r="O93" s="935">
        <v>0</v>
      </c>
      <c r="P93" s="935">
        <v>0</v>
      </c>
      <c r="Q93" s="935">
        <v>0</v>
      </c>
      <c r="R93" s="935">
        <v>0</v>
      </c>
      <c r="S93" s="935">
        <v>0</v>
      </c>
      <c r="T93" s="935">
        <v>0</v>
      </c>
      <c r="U93" s="935">
        <f t="shared" si="20"/>
        <v>0</v>
      </c>
    </row>
    <row r="94" spans="1:24" hidden="1" x14ac:dyDescent="0.2">
      <c r="A94" s="667">
        <v>430</v>
      </c>
      <c r="B94" s="668" t="s">
        <v>548</v>
      </c>
      <c r="C94" s="935">
        <v>0</v>
      </c>
      <c r="D94" s="935">
        <v>0</v>
      </c>
      <c r="E94" s="935">
        <v>0</v>
      </c>
      <c r="F94" s="935">
        <v>0</v>
      </c>
      <c r="G94" s="935">
        <v>0</v>
      </c>
      <c r="H94" s="935">
        <v>0</v>
      </c>
      <c r="I94" s="935">
        <v>0</v>
      </c>
      <c r="J94" s="935">
        <v>0</v>
      </c>
      <c r="K94" s="935">
        <v>0</v>
      </c>
      <c r="L94" s="935">
        <v>0</v>
      </c>
      <c r="M94" s="935">
        <v>0</v>
      </c>
      <c r="N94" s="935">
        <v>0</v>
      </c>
      <c r="O94" s="935">
        <v>0</v>
      </c>
      <c r="P94" s="935">
        <v>0</v>
      </c>
      <c r="Q94" s="935">
        <v>0</v>
      </c>
      <c r="R94" s="935">
        <v>0</v>
      </c>
      <c r="S94" s="935">
        <v>0</v>
      </c>
      <c r="T94" s="935">
        <v>0</v>
      </c>
      <c r="U94" s="935">
        <f t="shared" si="20"/>
        <v>0</v>
      </c>
    </row>
    <row r="95" spans="1:24" x14ac:dyDescent="0.2">
      <c r="A95" s="667">
        <v>440</v>
      </c>
      <c r="B95" s="668" t="s">
        <v>143</v>
      </c>
      <c r="C95" s="935">
        <v>20091</v>
      </c>
      <c r="D95" s="935">
        <v>0</v>
      </c>
      <c r="E95" s="935">
        <v>0</v>
      </c>
      <c r="F95" s="935">
        <v>0</v>
      </c>
      <c r="G95" s="935">
        <v>0</v>
      </c>
      <c r="H95" s="935">
        <v>0</v>
      </c>
      <c r="I95" s="935">
        <v>0</v>
      </c>
      <c r="J95" s="935">
        <v>0</v>
      </c>
      <c r="K95" s="935">
        <v>0</v>
      </c>
      <c r="L95" s="935">
        <v>0</v>
      </c>
      <c r="M95" s="935">
        <v>0</v>
      </c>
      <c r="N95" s="935">
        <v>0</v>
      </c>
      <c r="O95" s="935">
        <v>0</v>
      </c>
      <c r="P95" s="935">
        <v>0</v>
      </c>
      <c r="Q95" s="935">
        <v>0</v>
      </c>
      <c r="R95" s="935">
        <v>0</v>
      </c>
      <c r="S95" s="935">
        <v>0</v>
      </c>
      <c r="T95" s="935">
        <v>0</v>
      </c>
      <c r="U95" s="935">
        <f t="shared" si="20"/>
        <v>20091</v>
      </c>
    </row>
    <row r="96" spans="1:24" hidden="1" x14ac:dyDescent="0.2">
      <c r="A96" s="667">
        <v>500</v>
      </c>
      <c r="B96" s="668" t="s">
        <v>144</v>
      </c>
      <c r="C96" s="935">
        <v>0</v>
      </c>
      <c r="D96" s="935">
        <v>0</v>
      </c>
      <c r="E96" s="935">
        <v>0</v>
      </c>
      <c r="F96" s="935">
        <v>0</v>
      </c>
      <c r="G96" s="935">
        <v>0</v>
      </c>
      <c r="H96" s="935">
        <v>0</v>
      </c>
      <c r="I96" s="935">
        <v>0</v>
      </c>
      <c r="J96" s="935">
        <v>0</v>
      </c>
      <c r="K96" s="935">
        <v>0</v>
      </c>
      <c r="L96" s="935">
        <v>0</v>
      </c>
      <c r="M96" s="935">
        <v>0</v>
      </c>
      <c r="N96" s="935">
        <v>0</v>
      </c>
      <c r="O96" s="935">
        <v>0</v>
      </c>
      <c r="P96" s="935">
        <v>0</v>
      </c>
      <c r="Q96" s="935">
        <v>0</v>
      </c>
      <c r="R96" s="935">
        <v>0</v>
      </c>
      <c r="S96" s="935">
        <v>0</v>
      </c>
      <c r="T96" s="935">
        <v>0</v>
      </c>
      <c r="U96" s="935">
        <f t="shared" si="20"/>
        <v>0</v>
      </c>
    </row>
    <row r="97" spans="1:24" x14ac:dyDescent="0.2">
      <c r="A97" s="667">
        <v>600</v>
      </c>
      <c r="B97" s="668" t="s">
        <v>145</v>
      </c>
      <c r="C97" s="935">
        <v>54064</v>
      </c>
      <c r="D97" s="935">
        <v>0</v>
      </c>
      <c r="E97" s="935">
        <v>0</v>
      </c>
      <c r="F97" s="935">
        <v>0</v>
      </c>
      <c r="G97" s="935">
        <v>0</v>
      </c>
      <c r="H97" s="935">
        <v>0</v>
      </c>
      <c r="I97" s="935">
        <v>0</v>
      </c>
      <c r="J97" s="935">
        <v>192325</v>
      </c>
      <c r="K97" s="935">
        <v>0</v>
      </c>
      <c r="L97" s="935">
        <v>0</v>
      </c>
      <c r="M97" s="935">
        <v>0</v>
      </c>
      <c r="N97" s="935">
        <v>0</v>
      </c>
      <c r="O97" s="935">
        <v>0</v>
      </c>
      <c r="P97" s="935">
        <v>0</v>
      </c>
      <c r="Q97" s="935">
        <v>0</v>
      </c>
      <c r="R97" s="935">
        <v>0</v>
      </c>
      <c r="S97" s="935">
        <v>0</v>
      </c>
      <c r="T97" s="935">
        <v>0</v>
      </c>
      <c r="U97" s="935">
        <f t="shared" si="20"/>
        <v>246389</v>
      </c>
    </row>
    <row r="98" spans="1:24" hidden="1" x14ac:dyDescent="0.2">
      <c r="A98" s="667">
        <v>800</v>
      </c>
      <c r="B98" s="668" t="s">
        <v>146</v>
      </c>
      <c r="C98" s="935">
        <v>0</v>
      </c>
      <c r="D98" s="935">
        <v>0</v>
      </c>
      <c r="E98" s="935">
        <v>0</v>
      </c>
      <c r="F98" s="935">
        <v>0</v>
      </c>
      <c r="G98" s="935">
        <v>0</v>
      </c>
      <c r="H98" s="935">
        <v>0</v>
      </c>
      <c r="I98" s="935">
        <v>0</v>
      </c>
      <c r="J98" s="935">
        <v>0</v>
      </c>
      <c r="K98" s="935">
        <v>0</v>
      </c>
      <c r="L98" s="935">
        <v>0</v>
      </c>
      <c r="M98" s="935">
        <v>0</v>
      </c>
      <c r="N98" s="935">
        <v>0</v>
      </c>
      <c r="O98" s="935">
        <v>0</v>
      </c>
      <c r="P98" s="935">
        <v>0</v>
      </c>
      <c r="Q98" s="935">
        <v>0</v>
      </c>
      <c r="R98" s="935">
        <v>0</v>
      </c>
      <c r="S98" s="935">
        <v>0</v>
      </c>
      <c r="T98" s="935">
        <v>0</v>
      </c>
      <c r="U98" s="935">
        <f t="shared" si="20"/>
        <v>0</v>
      </c>
    </row>
    <row r="99" spans="1:24" x14ac:dyDescent="0.2">
      <c r="A99" s="667">
        <v>910</v>
      </c>
      <c r="B99" s="668" t="s">
        <v>147</v>
      </c>
      <c r="C99" s="935">
        <v>404296</v>
      </c>
      <c r="D99" s="935">
        <v>0</v>
      </c>
      <c r="E99" s="935">
        <v>0</v>
      </c>
      <c r="F99" s="935">
        <v>0</v>
      </c>
      <c r="G99" s="935">
        <v>0</v>
      </c>
      <c r="H99" s="935">
        <v>0</v>
      </c>
      <c r="I99" s="935">
        <v>0</v>
      </c>
      <c r="J99" s="935">
        <v>0</v>
      </c>
      <c r="K99" s="935">
        <v>0</v>
      </c>
      <c r="L99" s="935">
        <v>0</v>
      </c>
      <c r="M99" s="935">
        <v>0</v>
      </c>
      <c r="N99" s="935">
        <v>0</v>
      </c>
      <c r="O99" s="935">
        <v>0</v>
      </c>
      <c r="P99" s="935">
        <v>0</v>
      </c>
      <c r="Q99" s="935">
        <v>0</v>
      </c>
      <c r="R99" s="935">
        <v>0</v>
      </c>
      <c r="S99" s="935">
        <v>0</v>
      </c>
      <c r="T99" s="935">
        <v>0</v>
      </c>
      <c r="U99" s="935">
        <f t="shared" si="20"/>
        <v>404296</v>
      </c>
    </row>
    <row r="100" spans="1:24" x14ac:dyDescent="0.2">
      <c r="A100" s="667">
        <v>920</v>
      </c>
      <c r="B100" s="668" t="s">
        <v>148</v>
      </c>
      <c r="C100" s="935">
        <v>1499661</v>
      </c>
      <c r="D100" s="935">
        <v>0</v>
      </c>
      <c r="E100" s="935">
        <v>0</v>
      </c>
      <c r="F100" s="935">
        <v>0</v>
      </c>
      <c r="G100" s="935">
        <v>0</v>
      </c>
      <c r="H100" s="935">
        <v>0</v>
      </c>
      <c r="I100" s="935">
        <v>0</v>
      </c>
      <c r="J100" s="935">
        <v>0</v>
      </c>
      <c r="K100" s="935">
        <v>0</v>
      </c>
      <c r="L100" s="935">
        <v>0</v>
      </c>
      <c r="M100" s="935">
        <v>0</v>
      </c>
      <c r="N100" s="935">
        <v>0</v>
      </c>
      <c r="O100" s="935">
        <v>0</v>
      </c>
      <c r="P100" s="935">
        <v>0</v>
      </c>
      <c r="Q100" s="935">
        <v>0</v>
      </c>
      <c r="R100" s="935">
        <v>0</v>
      </c>
      <c r="S100" s="935">
        <v>0</v>
      </c>
      <c r="T100" s="935">
        <v>0</v>
      </c>
      <c r="U100" s="935">
        <f t="shared" si="20"/>
        <v>1499661</v>
      </c>
      <c r="X100" s="668"/>
    </row>
    <row r="101" spans="1:24" x14ac:dyDescent="0.2">
      <c r="C101" s="935"/>
      <c r="D101" s="935"/>
      <c r="E101" s="935"/>
      <c r="F101" s="935"/>
      <c r="G101" s="935"/>
      <c r="H101" s="935"/>
      <c r="I101" s="935"/>
      <c r="J101" s="935"/>
      <c r="K101" s="935"/>
      <c r="L101" s="935"/>
      <c r="M101" s="935"/>
      <c r="N101" s="935"/>
      <c r="O101" s="935"/>
      <c r="P101" s="935"/>
      <c r="Q101" s="935"/>
      <c r="R101" s="935"/>
      <c r="S101" s="935"/>
      <c r="T101" s="935"/>
      <c r="U101" s="935"/>
      <c r="X101" s="668"/>
    </row>
    <row r="102" spans="1:24" x14ac:dyDescent="0.2">
      <c r="A102" s="667" t="s">
        <v>149</v>
      </c>
      <c r="B102" s="667" t="s">
        <v>150</v>
      </c>
      <c r="C102" s="935"/>
      <c r="D102" s="935"/>
      <c r="E102" s="935"/>
      <c r="F102" s="935"/>
      <c r="G102" s="935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  <c r="U102" s="935"/>
      <c r="X102" s="668"/>
    </row>
    <row r="103" spans="1:24" x14ac:dyDescent="0.2">
      <c r="A103" s="667">
        <v>2100</v>
      </c>
      <c r="B103" s="668" t="s">
        <v>151</v>
      </c>
      <c r="C103" s="935">
        <v>3156622</v>
      </c>
      <c r="D103" s="935">
        <v>0</v>
      </c>
      <c r="E103" s="935">
        <v>2819920.5</v>
      </c>
      <c r="F103" s="935">
        <v>438865</v>
      </c>
      <c r="G103" s="935">
        <v>1397020</v>
      </c>
      <c r="H103" s="935">
        <v>0</v>
      </c>
      <c r="I103" s="935">
        <v>0</v>
      </c>
      <c r="J103" s="935">
        <v>0</v>
      </c>
      <c r="K103" s="935">
        <v>0</v>
      </c>
      <c r="L103" s="935">
        <v>1250343</v>
      </c>
      <c r="M103" s="935">
        <v>0</v>
      </c>
      <c r="N103" s="935">
        <v>0</v>
      </c>
      <c r="O103" s="935">
        <v>0</v>
      </c>
      <c r="P103" s="935">
        <v>0</v>
      </c>
      <c r="Q103" s="935">
        <v>0</v>
      </c>
      <c r="R103" s="935">
        <v>0</v>
      </c>
      <c r="S103" s="935">
        <v>0</v>
      </c>
      <c r="T103" s="935">
        <v>0</v>
      </c>
      <c r="U103" s="935">
        <f t="shared" si="20"/>
        <v>9062770.5</v>
      </c>
      <c r="X103" s="668"/>
    </row>
    <row r="104" spans="1:24" x14ac:dyDescent="0.2">
      <c r="A104" s="667">
        <v>2200</v>
      </c>
      <c r="B104" s="668" t="s">
        <v>152</v>
      </c>
      <c r="C104" s="935">
        <v>2105050</v>
      </c>
      <c r="D104" s="935">
        <v>0</v>
      </c>
      <c r="E104" s="935">
        <v>7636</v>
      </c>
      <c r="F104" s="935">
        <v>0</v>
      </c>
      <c r="G104" s="935">
        <v>1036114</v>
      </c>
      <c r="H104" s="935">
        <v>0</v>
      </c>
      <c r="I104" s="935">
        <v>0</v>
      </c>
      <c r="J104" s="935">
        <v>0</v>
      </c>
      <c r="K104" s="935">
        <v>0</v>
      </c>
      <c r="L104" s="935">
        <v>478219</v>
      </c>
      <c r="M104" s="935">
        <v>0</v>
      </c>
      <c r="N104" s="935">
        <v>0</v>
      </c>
      <c r="O104" s="935">
        <v>0</v>
      </c>
      <c r="P104" s="935">
        <v>0</v>
      </c>
      <c r="Q104" s="935">
        <v>0</v>
      </c>
      <c r="R104" s="935">
        <v>0</v>
      </c>
      <c r="S104" s="935">
        <v>0</v>
      </c>
      <c r="T104" s="935">
        <v>0</v>
      </c>
      <c r="U104" s="935">
        <f t="shared" si="20"/>
        <v>3627019</v>
      </c>
      <c r="X104" s="668"/>
    </row>
    <row r="105" spans="1:24" x14ac:dyDescent="0.2">
      <c r="A105" s="667">
        <v>2300</v>
      </c>
      <c r="B105" s="668" t="s">
        <v>153</v>
      </c>
      <c r="C105" s="935">
        <v>1956784</v>
      </c>
      <c r="D105" s="935">
        <v>0</v>
      </c>
      <c r="E105" s="935">
        <v>263090</v>
      </c>
      <c r="F105" s="935">
        <v>106763</v>
      </c>
      <c r="G105" s="935">
        <v>0</v>
      </c>
      <c r="H105" s="935">
        <v>0</v>
      </c>
      <c r="I105" s="935">
        <v>0</v>
      </c>
      <c r="J105" s="935">
        <v>0</v>
      </c>
      <c r="K105" s="935">
        <v>0</v>
      </c>
      <c r="L105" s="935">
        <v>0</v>
      </c>
      <c r="M105" s="935">
        <v>0</v>
      </c>
      <c r="N105" s="935">
        <v>0</v>
      </c>
      <c r="O105" s="935">
        <v>0</v>
      </c>
      <c r="P105" s="935">
        <v>0</v>
      </c>
      <c r="Q105" s="935">
        <v>0</v>
      </c>
      <c r="R105" s="935">
        <v>0</v>
      </c>
      <c r="S105" s="935">
        <v>0</v>
      </c>
      <c r="T105" s="935">
        <v>0</v>
      </c>
      <c r="U105" s="935">
        <f t="shared" si="20"/>
        <v>2326637</v>
      </c>
      <c r="X105" s="668"/>
    </row>
    <row r="106" spans="1:24" x14ac:dyDescent="0.2">
      <c r="A106" s="667">
        <v>2400</v>
      </c>
      <c r="B106" s="668" t="s">
        <v>154</v>
      </c>
      <c r="C106" s="935">
        <v>7696003</v>
      </c>
      <c r="D106" s="935">
        <v>0</v>
      </c>
      <c r="E106" s="935">
        <v>0</v>
      </c>
      <c r="F106" s="935">
        <v>0</v>
      </c>
      <c r="G106" s="935">
        <v>30000</v>
      </c>
      <c r="H106" s="935">
        <v>0</v>
      </c>
      <c r="I106" s="935">
        <v>0</v>
      </c>
      <c r="J106" s="935">
        <v>0</v>
      </c>
      <c r="K106" s="935">
        <v>0</v>
      </c>
      <c r="L106" s="935">
        <v>0</v>
      </c>
      <c r="M106" s="935">
        <v>0</v>
      </c>
      <c r="N106" s="935">
        <v>0</v>
      </c>
      <c r="O106" s="935">
        <v>0</v>
      </c>
      <c r="P106" s="935">
        <v>0</v>
      </c>
      <c r="Q106" s="935">
        <v>0</v>
      </c>
      <c r="R106" s="935">
        <v>0</v>
      </c>
      <c r="S106" s="935">
        <v>0</v>
      </c>
      <c r="T106" s="935">
        <v>0</v>
      </c>
      <c r="U106" s="935">
        <f t="shared" si="20"/>
        <v>7726003</v>
      </c>
      <c r="X106" s="668"/>
    </row>
    <row r="107" spans="1:24" x14ac:dyDescent="0.2">
      <c r="A107" s="667">
        <v>2500</v>
      </c>
      <c r="B107" s="668" t="s">
        <v>155</v>
      </c>
      <c r="C107" s="935">
        <v>5224762</v>
      </c>
      <c r="D107" s="935">
        <v>0</v>
      </c>
      <c r="E107" s="935">
        <v>0</v>
      </c>
      <c r="F107" s="935">
        <v>0</v>
      </c>
      <c r="G107" s="935">
        <v>167767</v>
      </c>
      <c r="H107" s="935">
        <v>0</v>
      </c>
      <c r="I107" s="935">
        <v>133000</v>
      </c>
      <c r="J107" s="935">
        <v>0</v>
      </c>
      <c r="K107" s="935">
        <v>0</v>
      </c>
      <c r="L107" s="935">
        <v>1500</v>
      </c>
      <c r="M107" s="935">
        <v>0</v>
      </c>
      <c r="N107" s="935">
        <v>0</v>
      </c>
      <c r="O107" s="935">
        <v>0</v>
      </c>
      <c r="P107" s="935">
        <v>0</v>
      </c>
      <c r="Q107" s="935">
        <v>0</v>
      </c>
      <c r="R107" s="935">
        <v>0</v>
      </c>
      <c r="S107" s="935">
        <v>0</v>
      </c>
      <c r="T107" s="935">
        <v>0</v>
      </c>
      <c r="U107" s="935">
        <f t="shared" si="20"/>
        <v>5527029</v>
      </c>
      <c r="X107" s="668"/>
    </row>
    <row r="108" spans="1:24" x14ac:dyDescent="0.2">
      <c r="A108" s="667">
        <v>2600</v>
      </c>
      <c r="B108" s="668" t="s">
        <v>156</v>
      </c>
      <c r="C108" s="935">
        <v>8358531.5</v>
      </c>
      <c r="D108" s="935">
        <v>0</v>
      </c>
      <c r="E108" s="935">
        <v>0</v>
      </c>
      <c r="F108" s="935">
        <v>0</v>
      </c>
      <c r="G108" s="935">
        <v>0</v>
      </c>
      <c r="H108" s="935">
        <v>0</v>
      </c>
      <c r="I108" s="935">
        <v>0</v>
      </c>
      <c r="J108" s="935">
        <v>0</v>
      </c>
      <c r="K108" s="935">
        <v>0</v>
      </c>
      <c r="L108" s="935">
        <v>0</v>
      </c>
      <c r="M108" s="935">
        <v>0</v>
      </c>
      <c r="N108" s="935">
        <v>0</v>
      </c>
      <c r="O108" s="935">
        <v>150000</v>
      </c>
      <c r="P108" s="935">
        <v>40000</v>
      </c>
      <c r="Q108" s="935">
        <v>0</v>
      </c>
      <c r="R108" s="935">
        <v>0</v>
      </c>
      <c r="S108" s="935">
        <v>0</v>
      </c>
      <c r="T108" s="935">
        <v>0</v>
      </c>
      <c r="U108" s="935">
        <f t="shared" si="20"/>
        <v>8548531.5</v>
      </c>
      <c r="X108" s="668"/>
    </row>
    <row r="109" spans="1:24" x14ac:dyDescent="0.2">
      <c r="A109" s="667">
        <v>2700</v>
      </c>
      <c r="B109" s="668" t="s">
        <v>157</v>
      </c>
      <c r="C109" s="935">
        <v>4741880</v>
      </c>
      <c r="D109" s="935">
        <v>0</v>
      </c>
      <c r="E109" s="935">
        <v>624330</v>
      </c>
      <c r="F109" s="935">
        <v>0</v>
      </c>
      <c r="G109" s="935">
        <v>47644</v>
      </c>
      <c r="H109" s="935">
        <v>0</v>
      </c>
      <c r="I109" s="935">
        <v>0</v>
      </c>
      <c r="J109" s="935">
        <v>0</v>
      </c>
      <c r="K109" s="935">
        <v>0</v>
      </c>
      <c r="L109" s="935">
        <v>0</v>
      </c>
      <c r="M109" s="935">
        <v>0</v>
      </c>
      <c r="N109" s="935">
        <v>0</v>
      </c>
      <c r="O109" s="935">
        <v>0</v>
      </c>
      <c r="P109" s="935">
        <v>0</v>
      </c>
      <c r="Q109" s="935">
        <v>0</v>
      </c>
      <c r="R109" s="935">
        <v>0</v>
      </c>
      <c r="S109" s="935">
        <v>0</v>
      </c>
      <c r="T109" s="935">
        <v>0</v>
      </c>
      <c r="U109" s="935">
        <f t="shared" si="20"/>
        <v>5413854</v>
      </c>
      <c r="X109" s="668"/>
    </row>
    <row r="110" spans="1:24" hidden="1" x14ac:dyDescent="0.2">
      <c r="A110" s="667">
        <v>2900</v>
      </c>
      <c r="B110" s="668" t="s">
        <v>158</v>
      </c>
      <c r="C110" s="935">
        <v>0</v>
      </c>
      <c r="D110" s="935">
        <v>0</v>
      </c>
      <c r="E110" s="935">
        <v>0</v>
      </c>
      <c r="F110" s="935">
        <v>0</v>
      </c>
      <c r="G110" s="935">
        <v>0</v>
      </c>
      <c r="H110" s="935">
        <v>0</v>
      </c>
      <c r="I110" s="935">
        <v>0</v>
      </c>
      <c r="J110" s="935">
        <v>0</v>
      </c>
      <c r="K110" s="935">
        <v>0</v>
      </c>
      <c r="L110" s="935">
        <v>0</v>
      </c>
      <c r="M110" s="935">
        <v>0</v>
      </c>
      <c r="N110" s="935">
        <v>0</v>
      </c>
      <c r="O110" s="935">
        <v>0</v>
      </c>
      <c r="P110" s="935">
        <v>0</v>
      </c>
      <c r="Q110" s="935">
        <v>0</v>
      </c>
      <c r="R110" s="935">
        <v>0</v>
      </c>
      <c r="S110" s="935">
        <v>0</v>
      </c>
      <c r="T110" s="935">
        <v>0</v>
      </c>
      <c r="U110" s="935">
        <f t="shared" si="20"/>
        <v>0</v>
      </c>
      <c r="X110" s="668"/>
    </row>
    <row r="111" spans="1:24" hidden="1" x14ac:dyDescent="0.2">
      <c r="A111" s="667">
        <v>3000</v>
      </c>
      <c r="B111" s="668" t="s">
        <v>159</v>
      </c>
      <c r="C111" s="935">
        <v>0</v>
      </c>
      <c r="D111" s="935">
        <v>0</v>
      </c>
      <c r="E111" s="935">
        <v>0</v>
      </c>
      <c r="F111" s="935">
        <v>0</v>
      </c>
      <c r="G111" s="935">
        <v>0</v>
      </c>
      <c r="H111" s="935">
        <v>0</v>
      </c>
      <c r="I111" s="935">
        <v>0</v>
      </c>
      <c r="J111" s="935">
        <v>0</v>
      </c>
      <c r="K111" s="935">
        <v>0</v>
      </c>
      <c r="L111" s="935">
        <v>0</v>
      </c>
      <c r="M111" s="935">
        <v>0</v>
      </c>
      <c r="N111" s="935">
        <v>0</v>
      </c>
      <c r="O111" s="935">
        <v>0</v>
      </c>
      <c r="P111" s="935">
        <v>0</v>
      </c>
      <c r="Q111" s="935">
        <v>0</v>
      </c>
      <c r="R111" s="935">
        <v>0</v>
      </c>
      <c r="S111" s="935">
        <v>0</v>
      </c>
      <c r="T111" s="935">
        <v>0</v>
      </c>
      <c r="U111" s="935">
        <f t="shared" si="20"/>
        <v>0</v>
      </c>
    </row>
    <row r="112" spans="1:24" x14ac:dyDescent="0.2">
      <c r="A112" s="667">
        <v>3100</v>
      </c>
      <c r="B112" s="668" t="s">
        <v>160</v>
      </c>
      <c r="C112" s="935">
        <v>0</v>
      </c>
      <c r="D112" s="935">
        <v>0</v>
      </c>
      <c r="E112" s="935">
        <v>0</v>
      </c>
      <c r="F112" s="935">
        <v>0</v>
      </c>
      <c r="G112" s="935">
        <v>0</v>
      </c>
      <c r="H112" s="935">
        <v>0</v>
      </c>
      <c r="I112" s="935">
        <v>3824030</v>
      </c>
      <c r="J112" s="935">
        <v>0</v>
      </c>
      <c r="K112" s="935">
        <v>0</v>
      </c>
      <c r="L112" s="935">
        <v>3000</v>
      </c>
      <c r="M112" s="935">
        <v>0</v>
      </c>
      <c r="N112" s="935">
        <v>0</v>
      </c>
      <c r="O112" s="935">
        <v>0</v>
      </c>
      <c r="P112" s="935">
        <v>0</v>
      </c>
      <c r="Q112" s="935">
        <v>0</v>
      </c>
      <c r="R112" s="935">
        <v>0</v>
      </c>
      <c r="S112" s="935">
        <v>0</v>
      </c>
      <c r="T112" s="935">
        <v>0</v>
      </c>
      <c r="U112" s="935">
        <f t="shared" si="20"/>
        <v>3827030</v>
      </c>
    </row>
    <row r="113" spans="1:21" hidden="1" x14ac:dyDescent="0.2">
      <c r="A113" s="667">
        <v>3200</v>
      </c>
      <c r="B113" s="668" t="s">
        <v>161</v>
      </c>
      <c r="C113" s="935">
        <v>0</v>
      </c>
      <c r="D113" s="935">
        <v>0</v>
      </c>
      <c r="E113" s="935">
        <v>0</v>
      </c>
      <c r="F113" s="935">
        <v>0</v>
      </c>
      <c r="G113" s="935">
        <v>0</v>
      </c>
      <c r="H113" s="935">
        <v>0</v>
      </c>
      <c r="I113" s="935">
        <v>0</v>
      </c>
      <c r="J113" s="935">
        <v>0</v>
      </c>
      <c r="K113" s="935">
        <v>0</v>
      </c>
      <c r="L113" s="935">
        <v>0</v>
      </c>
      <c r="M113" s="935">
        <v>0</v>
      </c>
      <c r="N113" s="935">
        <v>0</v>
      </c>
      <c r="O113" s="935">
        <v>0</v>
      </c>
      <c r="P113" s="935">
        <v>0</v>
      </c>
      <c r="Q113" s="935">
        <v>0</v>
      </c>
      <c r="R113" s="935">
        <v>0</v>
      </c>
      <c r="S113" s="935">
        <v>0</v>
      </c>
      <c r="T113" s="935">
        <v>0</v>
      </c>
      <c r="U113" s="935">
        <f t="shared" si="20"/>
        <v>0</v>
      </c>
    </row>
    <row r="114" spans="1:21" x14ac:dyDescent="0.2">
      <c r="A114" s="667">
        <v>3300</v>
      </c>
      <c r="B114" s="668" t="s">
        <v>162</v>
      </c>
      <c r="C114" s="935">
        <v>0</v>
      </c>
      <c r="D114" s="935">
        <v>0</v>
      </c>
      <c r="E114" s="935">
        <v>0</v>
      </c>
      <c r="F114" s="935">
        <v>0</v>
      </c>
      <c r="G114" s="935">
        <v>126808</v>
      </c>
      <c r="H114" s="935">
        <v>0</v>
      </c>
      <c r="I114" s="935">
        <v>0</v>
      </c>
      <c r="J114" s="935">
        <v>0</v>
      </c>
      <c r="K114" s="935">
        <v>0</v>
      </c>
      <c r="L114" s="935">
        <v>0</v>
      </c>
      <c r="M114" s="935">
        <v>0</v>
      </c>
      <c r="N114" s="935">
        <v>0</v>
      </c>
      <c r="O114" s="935">
        <v>0</v>
      </c>
      <c r="P114" s="935">
        <v>0</v>
      </c>
      <c r="Q114" s="935">
        <v>0</v>
      </c>
      <c r="R114" s="935">
        <v>0</v>
      </c>
      <c r="S114" s="935">
        <v>0</v>
      </c>
      <c r="T114" s="935">
        <v>0</v>
      </c>
      <c r="U114" s="935">
        <f t="shared" si="20"/>
        <v>126808</v>
      </c>
    </row>
    <row r="115" spans="1:21" hidden="1" x14ac:dyDescent="0.2">
      <c r="A115" s="667">
        <v>4000</v>
      </c>
      <c r="B115" s="668" t="s">
        <v>164</v>
      </c>
      <c r="C115" s="935">
        <v>0</v>
      </c>
      <c r="D115" s="935">
        <v>0</v>
      </c>
      <c r="E115" s="935">
        <v>0</v>
      </c>
      <c r="F115" s="935">
        <v>0</v>
      </c>
      <c r="G115" s="935">
        <v>0</v>
      </c>
      <c r="H115" s="935">
        <v>0</v>
      </c>
      <c r="I115" s="935">
        <v>0</v>
      </c>
      <c r="J115" s="935">
        <v>0</v>
      </c>
      <c r="K115" s="935">
        <v>0</v>
      </c>
      <c r="L115" s="935">
        <v>0</v>
      </c>
      <c r="M115" s="935">
        <v>0</v>
      </c>
      <c r="N115" s="935">
        <v>0</v>
      </c>
      <c r="O115" s="935">
        <v>0</v>
      </c>
      <c r="P115" s="935">
        <v>0</v>
      </c>
      <c r="Q115" s="935">
        <v>0</v>
      </c>
      <c r="R115" s="935">
        <v>0</v>
      </c>
      <c r="S115" s="935">
        <v>0</v>
      </c>
      <c r="T115" s="935">
        <v>0</v>
      </c>
      <c r="U115" s="935">
        <f t="shared" si="20"/>
        <v>0</v>
      </c>
    </row>
    <row r="116" spans="1:21" hidden="1" x14ac:dyDescent="0.2">
      <c r="A116" s="667">
        <v>4100</v>
      </c>
      <c r="B116" s="668" t="s">
        <v>163</v>
      </c>
      <c r="C116" s="935">
        <v>0</v>
      </c>
      <c r="D116" s="935">
        <v>0</v>
      </c>
      <c r="E116" s="935">
        <v>0</v>
      </c>
      <c r="F116" s="935">
        <v>0</v>
      </c>
      <c r="G116" s="935">
        <v>0</v>
      </c>
      <c r="H116" s="935">
        <v>0</v>
      </c>
      <c r="I116" s="935">
        <v>0</v>
      </c>
      <c r="J116" s="935">
        <v>0</v>
      </c>
      <c r="K116" s="935">
        <v>0</v>
      </c>
      <c r="L116" s="935">
        <v>0</v>
      </c>
      <c r="M116" s="935">
        <v>0</v>
      </c>
      <c r="N116" s="935">
        <v>0</v>
      </c>
      <c r="O116" s="935">
        <v>0</v>
      </c>
      <c r="P116" s="935">
        <v>0</v>
      </c>
      <c r="Q116" s="935">
        <v>0</v>
      </c>
      <c r="R116" s="935">
        <v>0</v>
      </c>
      <c r="S116" s="935">
        <v>0</v>
      </c>
      <c r="T116" s="935">
        <v>0</v>
      </c>
      <c r="U116" s="935">
        <f t="shared" si="20"/>
        <v>0</v>
      </c>
    </row>
    <row r="117" spans="1:21" hidden="1" x14ac:dyDescent="0.2">
      <c r="A117" s="667">
        <v>4200</v>
      </c>
      <c r="B117" s="668" t="s">
        <v>165</v>
      </c>
      <c r="C117" s="935">
        <v>0</v>
      </c>
      <c r="D117" s="935">
        <v>0</v>
      </c>
      <c r="E117" s="935">
        <v>0</v>
      </c>
      <c r="F117" s="935">
        <v>0</v>
      </c>
      <c r="G117" s="935">
        <v>0</v>
      </c>
      <c r="H117" s="935">
        <v>0</v>
      </c>
      <c r="I117" s="935">
        <v>0</v>
      </c>
      <c r="J117" s="935">
        <v>0</v>
      </c>
      <c r="K117" s="935">
        <v>0</v>
      </c>
      <c r="L117" s="935">
        <v>0</v>
      </c>
      <c r="M117" s="935">
        <v>0</v>
      </c>
      <c r="N117" s="935">
        <v>0</v>
      </c>
      <c r="O117" s="935">
        <v>0</v>
      </c>
      <c r="P117" s="935">
        <v>0</v>
      </c>
      <c r="Q117" s="935">
        <v>0</v>
      </c>
      <c r="R117" s="935">
        <v>0</v>
      </c>
      <c r="S117" s="935">
        <v>0</v>
      </c>
      <c r="T117" s="935">
        <v>0</v>
      </c>
      <c r="U117" s="935">
        <f t="shared" si="20"/>
        <v>0</v>
      </c>
    </row>
    <row r="118" spans="1:21" x14ac:dyDescent="0.2">
      <c r="A118" s="667">
        <v>4300</v>
      </c>
      <c r="B118" s="668" t="s">
        <v>166</v>
      </c>
      <c r="C118" s="935">
        <v>0</v>
      </c>
      <c r="D118" s="935">
        <v>0</v>
      </c>
      <c r="E118" s="935">
        <v>0</v>
      </c>
      <c r="F118" s="935">
        <v>0</v>
      </c>
      <c r="G118" s="935">
        <v>0</v>
      </c>
      <c r="H118" s="935">
        <v>0</v>
      </c>
      <c r="I118" s="935">
        <v>0</v>
      </c>
      <c r="J118" s="935">
        <v>0</v>
      </c>
      <c r="K118" s="935">
        <v>0</v>
      </c>
      <c r="L118" s="935">
        <v>0</v>
      </c>
      <c r="M118" s="935">
        <v>750000</v>
      </c>
      <c r="N118" s="935">
        <v>25000</v>
      </c>
      <c r="O118" s="935">
        <v>0</v>
      </c>
      <c r="P118" s="935">
        <v>0</v>
      </c>
      <c r="Q118" s="935">
        <v>0</v>
      </c>
      <c r="R118" s="935">
        <v>0</v>
      </c>
      <c r="S118" s="935">
        <v>0</v>
      </c>
      <c r="T118" s="935">
        <v>0</v>
      </c>
      <c r="U118" s="935">
        <f t="shared" si="20"/>
        <v>775000</v>
      </c>
    </row>
    <row r="119" spans="1:21" hidden="1" x14ac:dyDescent="0.2">
      <c r="A119" s="667">
        <v>4400</v>
      </c>
      <c r="B119" s="668" t="s">
        <v>167</v>
      </c>
      <c r="C119" s="935">
        <v>0</v>
      </c>
      <c r="D119" s="935">
        <v>0</v>
      </c>
      <c r="E119" s="935">
        <v>0</v>
      </c>
      <c r="F119" s="935">
        <v>0</v>
      </c>
      <c r="G119" s="935">
        <v>0</v>
      </c>
      <c r="H119" s="935">
        <v>0</v>
      </c>
      <c r="I119" s="935">
        <v>0</v>
      </c>
      <c r="J119" s="935">
        <v>0</v>
      </c>
      <c r="K119" s="935">
        <v>0</v>
      </c>
      <c r="L119" s="935">
        <v>0</v>
      </c>
      <c r="M119" s="935">
        <v>0</v>
      </c>
      <c r="N119" s="935">
        <v>0</v>
      </c>
      <c r="O119" s="935">
        <v>0</v>
      </c>
      <c r="P119" s="935">
        <v>0</v>
      </c>
      <c r="Q119" s="935">
        <v>0</v>
      </c>
      <c r="R119" s="935">
        <v>0</v>
      </c>
      <c r="S119" s="935">
        <v>0</v>
      </c>
      <c r="T119" s="935">
        <v>0</v>
      </c>
      <c r="U119" s="935">
        <f t="shared" si="20"/>
        <v>0</v>
      </c>
    </row>
    <row r="120" spans="1:21" x14ac:dyDescent="0.2">
      <c r="A120" s="667">
        <v>4500</v>
      </c>
      <c r="B120" s="668" t="s">
        <v>168</v>
      </c>
      <c r="C120" s="935">
        <v>0</v>
      </c>
      <c r="D120" s="935">
        <v>0</v>
      </c>
      <c r="E120" s="935">
        <v>0</v>
      </c>
      <c r="F120" s="935">
        <v>0</v>
      </c>
      <c r="G120" s="935">
        <v>0</v>
      </c>
      <c r="H120" s="935">
        <v>0</v>
      </c>
      <c r="I120" s="935">
        <v>150000</v>
      </c>
      <c r="J120" s="935">
        <v>0</v>
      </c>
      <c r="K120" s="935">
        <v>0</v>
      </c>
      <c r="L120" s="935">
        <v>0</v>
      </c>
      <c r="M120" s="935">
        <v>7045000</v>
      </c>
      <c r="N120" s="935">
        <v>0</v>
      </c>
      <c r="O120" s="935">
        <v>0</v>
      </c>
      <c r="P120" s="935">
        <v>960000</v>
      </c>
      <c r="Q120" s="935">
        <v>0</v>
      </c>
      <c r="R120" s="935">
        <v>0</v>
      </c>
      <c r="S120" s="935">
        <v>0</v>
      </c>
      <c r="T120" s="935">
        <v>0</v>
      </c>
      <c r="U120" s="935">
        <f t="shared" si="20"/>
        <v>8155000</v>
      </c>
    </row>
    <row r="121" spans="1:21" x14ac:dyDescent="0.2">
      <c r="A121" s="667">
        <v>4600</v>
      </c>
      <c r="B121" s="668" t="s">
        <v>169</v>
      </c>
      <c r="C121" s="935">
        <v>0</v>
      </c>
      <c r="D121" s="935">
        <v>0</v>
      </c>
      <c r="E121" s="935">
        <v>0</v>
      </c>
      <c r="F121" s="935">
        <v>0</v>
      </c>
      <c r="G121" s="935">
        <v>0</v>
      </c>
      <c r="H121" s="935">
        <v>0</v>
      </c>
      <c r="I121" s="935">
        <v>0</v>
      </c>
      <c r="J121" s="935">
        <v>0</v>
      </c>
      <c r="K121" s="935">
        <v>0</v>
      </c>
      <c r="L121" s="935">
        <v>0</v>
      </c>
      <c r="M121" s="935">
        <v>525000</v>
      </c>
      <c r="N121" s="935">
        <v>400000</v>
      </c>
      <c r="O121" s="935">
        <v>0</v>
      </c>
      <c r="P121" s="935">
        <v>250000</v>
      </c>
      <c r="Q121" s="935">
        <v>0</v>
      </c>
      <c r="R121" s="935">
        <v>0</v>
      </c>
      <c r="S121" s="935">
        <v>0</v>
      </c>
      <c r="T121" s="935">
        <v>0</v>
      </c>
      <c r="U121" s="935">
        <f t="shared" si="20"/>
        <v>1175000</v>
      </c>
    </row>
    <row r="122" spans="1:21" x14ac:dyDescent="0.2">
      <c r="A122" s="667">
        <v>4700</v>
      </c>
      <c r="B122" s="668" t="s">
        <v>170</v>
      </c>
      <c r="C122" s="935">
        <v>0</v>
      </c>
      <c r="D122" s="935">
        <v>0</v>
      </c>
      <c r="E122" s="935">
        <v>0</v>
      </c>
      <c r="F122" s="935">
        <v>0</v>
      </c>
      <c r="G122" s="935">
        <v>0</v>
      </c>
      <c r="H122" s="935">
        <v>0</v>
      </c>
      <c r="I122" s="935">
        <v>0</v>
      </c>
      <c r="J122" s="935">
        <v>0</v>
      </c>
      <c r="K122" s="935">
        <v>0</v>
      </c>
      <c r="L122" s="935">
        <v>0</v>
      </c>
      <c r="M122" s="935">
        <v>0</v>
      </c>
      <c r="N122" s="935">
        <v>650000</v>
      </c>
      <c r="O122" s="935">
        <v>0</v>
      </c>
      <c r="P122" s="935">
        <v>0</v>
      </c>
      <c r="Q122" s="935">
        <v>0</v>
      </c>
      <c r="R122" s="935">
        <v>0</v>
      </c>
      <c r="S122" s="935">
        <v>0</v>
      </c>
      <c r="T122" s="935">
        <v>0</v>
      </c>
      <c r="U122" s="935">
        <f t="shared" si="20"/>
        <v>650000</v>
      </c>
    </row>
    <row r="123" spans="1:21" hidden="1" x14ac:dyDescent="0.2">
      <c r="A123" s="667">
        <v>4900</v>
      </c>
      <c r="B123" s="668" t="s">
        <v>171</v>
      </c>
      <c r="C123" s="935">
        <v>0</v>
      </c>
      <c r="D123" s="935">
        <v>0</v>
      </c>
      <c r="E123" s="935">
        <v>0</v>
      </c>
      <c r="F123" s="935">
        <v>0</v>
      </c>
      <c r="G123" s="935">
        <v>0</v>
      </c>
      <c r="H123" s="935">
        <v>0</v>
      </c>
      <c r="I123" s="935">
        <v>0</v>
      </c>
      <c r="J123" s="935">
        <v>0</v>
      </c>
      <c r="K123" s="935">
        <v>0</v>
      </c>
      <c r="L123" s="935">
        <v>0</v>
      </c>
      <c r="M123" s="935">
        <v>0</v>
      </c>
      <c r="N123" s="935">
        <v>0</v>
      </c>
      <c r="O123" s="935">
        <v>0</v>
      </c>
      <c r="P123" s="935">
        <v>0</v>
      </c>
      <c r="Q123" s="935">
        <v>0</v>
      </c>
      <c r="R123" s="935">
        <v>0</v>
      </c>
      <c r="S123" s="935">
        <v>0</v>
      </c>
      <c r="T123" s="935">
        <v>0</v>
      </c>
      <c r="U123" s="935">
        <f t="shared" si="20"/>
        <v>0</v>
      </c>
    </row>
    <row r="124" spans="1:21" hidden="1" x14ac:dyDescent="0.2">
      <c r="A124" s="667">
        <v>5000</v>
      </c>
      <c r="B124" s="668" t="s">
        <v>172</v>
      </c>
      <c r="C124" s="935">
        <v>0</v>
      </c>
      <c r="D124" s="935">
        <v>0</v>
      </c>
      <c r="E124" s="935">
        <v>0</v>
      </c>
      <c r="F124" s="935">
        <v>0</v>
      </c>
      <c r="G124" s="935">
        <v>0</v>
      </c>
      <c r="H124" s="935">
        <v>0</v>
      </c>
      <c r="I124" s="935">
        <v>0</v>
      </c>
      <c r="J124" s="935">
        <v>0</v>
      </c>
      <c r="K124" s="935">
        <v>0</v>
      </c>
      <c r="L124" s="935">
        <v>0</v>
      </c>
      <c r="M124" s="935">
        <v>0</v>
      </c>
      <c r="N124" s="935">
        <v>0</v>
      </c>
      <c r="O124" s="935">
        <v>0</v>
      </c>
      <c r="P124" s="935">
        <v>0</v>
      </c>
      <c r="Q124" s="935">
        <v>0</v>
      </c>
      <c r="R124" s="935">
        <v>0</v>
      </c>
      <c r="S124" s="935">
        <v>0</v>
      </c>
      <c r="T124" s="935">
        <v>0</v>
      </c>
      <c r="U124" s="935">
        <f t="shared" si="20"/>
        <v>0</v>
      </c>
    </row>
    <row r="125" spans="1:21" x14ac:dyDescent="0.2">
      <c r="A125" s="667">
        <v>5000</v>
      </c>
      <c r="B125" s="668" t="s">
        <v>173</v>
      </c>
      <c r="C125" s="935">
        <v>0</v>
      </c>
      <c r="D125" s="935">
        <v>7200402</v>
      </c>
      <c r="E125" s="935">
        <v>0</v>
      </c>
      <c r="F125" s="935">
        <v>0</v>
      </c>
      <c r="G125" s="935">
        <v>0</v>
      </c>
      <c r="H125" s="935">
        <v>0</v>
      </c>
      <c r="I125" s="935">
        <v>0</v>
      </c>
      <c r="J125" s="935">
        <v>0</v>
      </c>
      <c r="K125" s="935">
        <v>0</v>
      </c>
      <c r="L125" s="935">
        <v>0</v>
      </c>
      <c r="M125" s="935">
        <v>0</v>
      </c>
      <c r="N125" s="935">
        <v>0</v>
      </c>
      <c r="O125" s="935">
        <v>0</v>
      </c>
      <c r="P125" s="935">
        <v>0</v>
      </c>
      <c r="Q125" s="935">
        <v>0</v>
      </c>
      <c r="R125" s="935">
        <v>0</v>
      </c>
      <c r="S125" s="935">
        <v>0</v>
      </c>
      <c r="T125" s="935">
        <v>0</v>
      </c>
      <c r="U125" s="935">
        <f t="shared" si="20"/>
        <v>7200402</v>
      </c>
    </row>
    <row r="126" spans="1:21" hidden="1" x14ac:dyDescent="0.2">
      <c r="A126" s="667">
        <v>6100</v>
      </c>
      <c r="B126" s="668" t="s">
        <v>174</v>
      </c>
      <c r="C126" s="935">
        <v>0</v>
      </c>
      <c r="D126" s="935">
        <v>0</v>
      </c>
      <c r="E126" s="935">
        <v>0</v>
      </c>
      <c r="F126" s="935">
        <v>0</v>
      </c>
      <c r="G126" s="935">
        <v>0</v>
      </c>
      <c r="H126" s="935">
        <v>0</v>
      </c>
      <c r="I126" s="935">
        <v>0</v>
      </c>
      <c r="J126" s="935">
        <v>0</v>
      </c>
      <c r="K126" s="935">
        <v>0</v>
      </c>
      <c r="L126" s="935">
        <v>0</v>
      </c>
      <c r="M126" s="935">
        <v>0</v>
      </c>
      <c r="N126" s="935">
        <v>0</v>
      </c>
      <c r="O126" s="935">
        <v>0</v>
      </c>
      <c r="P126" s="935">
        <v>0</v>
      </c>
      <c r="Q126" s="935">
        <v>0</v>
      </c>
      <c r="R126" s="935">
        <v>0</v>
      </c>
      <c r="S126" s="935">
        <v>0</v>
      </c>
      <c r="T126" s="935">
        <v>0</v>
      </c>
      <c r="U126" s="935">
        <f t="shared" si="20"/>
        <v>0</v>
      </c>
    </row>
    <row r="127" spans="1:21" x14ac:dyDescent="0.2">
      <c r="A127" s="667">
        <v>6200</v>
      </c>
      <c r="B127" s="668" t="s">
        <v>175</v>
      </c>
      <c r="C127" s="935">
        <v>9100000</v>
      </c>
      <c r="D127" s="935">
        <v>0</v>
      </c>
      <c r="E127" s="935">
        <v>0</v>
      </c>
      <c r="F127" s="935">
        <v>0</v>
      </c>
      <c r="G127" s="935">
        <v>0</v>
      </c>
      <c r="H127" s="935">
        <v>0</v>
      </c>
      <c r="I127" s="935">
        <v>0</v>
      </c>
      <c r="J127" s="935">
        <v>0</v>
      </c>
      <c r="K127" s="935">
        <v>0</v>
      </c>
      <c r="L127" s="935">
        <v>0</v>
      </c>
      <c r="M127" s="935">
        <v>0</v>
      </c>
      <c r="N127" s="935">
        <v>0</v>
      </c>
      <c r="O127" s="935">
        <v>0</v>
      </c>
      <c r="P127" s="935">
        <v>0</v>
      </c>
      <c r="Q127" s="935">
        <v>0</v>
      </c>
      <c r="R127" s="935">
        <v>0</v>
      </c>
      <c r="S127" s="935">
        <v>0</v>
      </c>
      <c r="T127" s="935">
        <v>0</v>
      </c>
      <c r="U127" s="935">
        <f t="shared" si="20"/>
        <v>9100000</v>
      </c>
    </row>
    <row r="128" spans="1:21" x14ac:dyDescent="0.2">
      <c r="A128" s="667">
        <v>6300</v>
      </c>
      <c r="B128" s="668" t="s">
        <v>176</v>
      </c>
      <c r="C128" s="935">
        <v>500000</v>
      </c>
      <c r="D128" s="935">
        <v>0</v>
      </c>
      <c r="E128" s="935">
        <v>0</v>
      </c>
      <c r="F128" s="935">
        <v>0</v>
      </c>
      <c r="G128" s="935">
        <v>0</v>
      </c>
      <c r="H128" s="935">
        <v>0</v>
      </c>
      <c r="I128" s="935">
        <v>0</v>
      </c>
      <c r="J128" s="935">
        <v>0</v>
      </c>
      <c r="K128" s="935">
        <v>0</v>
      </c>
      <c r="L128" s="935">
        <v>0</v>
      </c>
      <c r="M128" s="935">
        <v>0</v>
      </c>
      <c r="N128" s="935">
        <v>0</v>
      </c>
      <c r="O128" s="935">
        <v>0</v>
      </c>
      <c r="P128" s="935">
        <v>0</v>
      </c>
      <c r="Q128" s="935">
        <v>0</v>
      </c>
      <c r="R128" s="935">
        <v>0</v>
      </c>
      <c r="S128" s="935">
        <v>0</v>
      </c>
      <c r="T128" s="935">
        <v>0</v>
      </c>
      <c r="U128" s="935">
        <f t="shared" si="20"/>
        <v>500000</v>
      </c>
    </row>
    <row r="129" spans="1:24" x14ac:dyDescent="0.2">
      <c r="A129" s="667">
        <v>8000</v>
      </c>
      <c r="B129" s="668" t="s">
        <v>177</v>
      </c>
      <c r="C129" s="935">
        <v>3436078</v>
      </c>
      <c r="D129" s="935">
        <v>6255187</v>
      </c>
      <c r="E129" s="935">
        <v>52077</v>
      </c>
      <c r="F129" s="935">
        <v>14372</v>
      </c>
      <c r="G129" s="935">
        <v>0</v>
      </c>
      <c r="H129" s="935">
        <v>104135</v>
      </c>
      <c r="I129" s="935">
        <v>161412</v>
      </c>
      <c r="J129" s="935">
        <v>864</v>
      </c>
      <c r="K129" s="935">
        <v>0</v>
      </c>
      <c r="L129" s="935">
        <v>0</v>
      </c>
      <c r="M129" s="935">
        <v>10622973</v>
      </c>
      <c r="N129" s="935">
        <v>2069493</v>
      </c>
      <c r="O129" s="935">
        <v>33095</v>
      </c>
      <c r="P129" s="935">
        <v>379258</v>
      </c>
      <c r="Q129" s="935">
        <v>958942</v>
      </c>
      <c r="R129" s="935">
        <v>989890</v>
      </c>
      <c r="S129" s="935">
        <v>75933</v>
      </c>
      <c r="T129" s="935">
        <v>0</v>
      </c>
      <c r="U129" s="935">
        <f t="shared" si="20"/>
        <v>25153709</v>
      </c>
    </row>
    <row r="130" spans="1:24" x14ac:dyDescent="0.2">
      <c r="C130" s="935"/>
      <c r="D130" s="935"/>
      <c r="E130" s="935"/>
      <c r="F130" s="935"/>
      <c r="G130" s="935"/>
      <c r="H130" s="935"/>
      <c r="I130" s="935"/>
      <c r="J130" s="935"/>
      <c r="K130" s="935"/>
      <c r="L130" s="935"/>
      <c r="M130" s="935"/>
      <c r="N130" s="935"/>
      <c r="O130" s="935"/>
      <c r="P130" s="935"/>
      <c r="Q130" s="935"/>
      <c r="R130" s="935"/>
      <c r="S130" s="935"/>
      <c r="T130" s="935"/>
      <c r="U130" s="935"/>
    </row>
    <row r="131" spans="1:24" s="667" customFormat="1" x14ac:dyDescent="0.2">
      <c r="A131" s="687"/>
      <c r="B131" s="667" t="s">
        <v>308</v>
      </c>
      <c r="C131" s="931"/>
      <c r="D131" s="931"/>
      <c r="E131" s="931"/>
      <c r="F131" s="931"/>
      <c r="G131" s="931"/>
      <c r="H131" s="931"/>
      <c r="I131" s="931"/>
      <c r="J131" s="931"/>
      <c r="K131" s="931"/>
      <c r="L131" s="931"/>
      <c r="M131" s="931"/>
      <c r="N131" s="931"/>
      <c r="O131" s="931"/>
      <c r="P131" s="931"/>
      <c r="Q131" s="931"/>
      <c r="R131" s="931"/>
      <c r="S131" s="931"/>
      <c r="T131" s="931"/>
      <c r="U131" s="931"/>
      <c r="X131" s="687"/>
    </row>
    <row r="132" spans="1:24" hidden="1" x14ac:dyDescent="0.2">
      <c r="B132" s="668" t="s">
        <v>179</v>
      </c>
      <c r="C132" s="935">
        <v>0</v>
      </c>
      <c r="D132" s="935">
        <v>0</v>
      </c>
      <c r="E132" s="935">
        <v>0</v>
      </c>
      <c r="F132" s="935">
        <v>0</v>
      </c>
      <c r="G132" s="935">
        <v>0</v>
      </c>
      <c r="H132" s="935">
        <v>0</v>
      </c>
      <c r="I132" s="935">
        <v>0</v>
      </c>
      <c r="J132" s="935">
        <v>0</v>
      </c>
      <c r="K132" s="935">
        <v>0</v>
      </c>
      <c r="L132" s="935">
        <v>0</v>
      </c>
      <c r="M132" s="935">
        <v>0</v>
      </c>
      <c r="N132" s="935">
        <v>0</v>
      </c>
      <c r="O132" s="935">
        <v>0</v>
      </c>
      <c r="P132" s="935">
        <v>0</v>
      </c>
      <c r="Q132" s="935">
        <v>0</v>
      </c>
      <c r="R132" s="935">
        <v>0</v>
      </c>
      <c r="S132" s="935">
        <v>0</v>
      </c>
      <c r="T132" s="935">
        <v>0</v>
      </c>
      <c r="U132" s="935">
        <f t="shared" ref="U132:U195" si="21">SUM(C132:T132)</f>
        <v>0</v>
      </c>
    </row>
    <row r="133" spans="1:24" hidden="1" x14ac:dyDescent="0.2">
      <c r="B133" s="668" t="s">
        <v>145</v>
      </c>
      <c r="C133" s="935">
        <v>0</v>
      </c>
      <c r="D133" s="935">
        <v>0</v>
      </c>
      <c r="E133" s="935">
        <v>0</v>
      </c>
      <c r="F133" s="935">
        <v>0</v>
      </c>
      <c r="G133" s="935">
        <v>0</v>
      </c>
      <c r="H133" s="935">
        <v>0</v>
      </c>
      <c r="I133" s="935">
        <v>0</v>
      </c>
      <c r="J133" s="935">
        <v>0</v>
      </c>
      <c r="K133" s="935">
        <v>0</v>
      </c>
      <c r="L133" s="935">
        <v>0</v>
      </c>
      <c r="M133" s="935">
        <v>0</v>
      </c>
      <c r="N133" s="935">
        <v>0</v>
      </c>
      <c r="O133" s="935">
        <v>0</v>
      </c>
      <c r="P133" s="935">
        <v>0</v>
      </c>
      <c r="Q133" s="935">
        <v>0</v>
      </c>
      <c r="R133" s="935">
        <v>0</v>
      </c>
      <c r="S133" s="935">
        <v>0</v>
      </c>
      <c r="T133" s="935">
        <v>0</v>
      </c>
      <c r="U133" s="935">
        <f t="shared" si="21"/>
        <v>0</v>
      </c>
    </row>
    <row r="134" spans="1:24" hidden="1" x14ac:dyDescent="0.2">
      <c r="B134" s="668" t="s">
        <v>180</v>
      </c>
      <c r="C134" s="935">
        <v>0</v>
      </c>
      <c r="D134" s="935">
        <v>0</v>
      </c>
      <c r="E134" s="935">
        <v>0</v>
      </c>
      <c r="F134" s="935">
        <v>0</v>
      </c>
      <c r="G134" s="935">
        <v>0</v>
      </c>
      <c r="H134" s="935">
        <v>0</v>
      </c>
      <c r="I134" s="935">
        <v>0</v>
      </c>
      <c r="J134" s="935">
        <v>0</v>
      </c>
      <c r="K134" s="935">
        <v>0</v>
      </c>
      <c r="L134" s="935">
        <v>0</v>
      </c>
      <c r="M134" s="935">
        <v>0</v>
      </c>
      <c r="N134" s="935">
        <v>0</v>
      </c>
      <c r="O134" s="935">
        <v>0</v>
      </c>
      <c r="P134" s="935">
        <v>0</v>
      </c>
      <c r="Q134" s="935">
        <v>0</v>
      </c>
      <c r="R134" s="935">
        <v>0</v>
      </c>
      <c r="S134" s="935">
        <v>0</v>
      </c>
      <c r="T134" s="935">
        <v>0</v>
      </c>
      <c r="U134" s="935">
        <f t="shared" si="21"/>
        <v>0</v>
      </c>
    </row>
    <row r="135" spans="1:24" hidden="1" x14ac:dyDescent="0.2">
      <c r="B135" s="668" t="s">
        <v>181</v>
      </c>
      <c r="C135" s="935">
        <v>0</v>
      </c>
      <c r="D135" s="935">
        <v>0</v>
      </c>
      <c r="E135" s="935">
        <v>0</v>
      </c>
      <c r="F135" s="935">
        <v>0</v>
      </c>
      <c r="G135" s="935">
        <v>0</v>
      </c>
      <c r="H135" s="935">
        <v>0</v>
      </c>
      <c r="I135" s="935">
        <v>0</v>
      </c>
      <c r="J135" s="935">
        <v>0</v>
      </c>
      <c r="K135" s="935">
        <v>0</v>
      </c>
      <c r="L135" s="935">
        <v>0</v>
      </c>
      <c r="M135" s="935">
        <v>0</v>
      </c>
      <c r="N135" s="935">
        <v>0</v>
      </c>
      <c r="O135" s="935">
        <v>0</v>
      </c>
      <c r="P135" s="935">
        <v>0</v>
      </c>
      <c r="Q135" s="935">
        <v>0</v>
      </c>
      <c r="R135" s="935">
        <v>0</v>
      </c>
      <c r="S135" s="935">
        <v>0</v>
      </c>
      <c r="T135" s="935">
        <v>0</v>
      </c>
      <c r="U135" s="935">
        <f t="shared" si="21"/>
        <v>0</v>
      </c>
    </row>
    <row r="136" spans="1:24" hidden="1" x14ac:dyDescent="0.2">
      <c r="B136" s="668" t="s">
        <v>182</v>
      </c>
      <c r="C136" s="935">
        <v>0</v>
      </c>
      <c r="D136" s="935">
        <v>0</v>
      </c>
      <c r="E136" s="935">
        <v>0</v>
      </c>
      <c r="F136" s="935">
        <v>0</v>
      </c>
      <c r="G136" s="935">
        <v>0</v>
      </c>
      <c r="H136" s="935">
        <v>0</v>
      </c>
      <c r="I136" s="935">
        <v>0</v>
      </c>
      <c r="J136" s="935">
        <v>0</v>
      </c>
      <c r="K136" s="935">
        <v>0</v>
      </c>
      <c r="L136" s="935">
        <v>0</v>
      </c>
      <c r="M136" s="935">
        <v>0</v>
      </c>
      <c r="N136" s="935">
        <v>0</v>
      </c>
      <c r="O136" s="935">
        <v>0</v>
      </c>
      <c r="P136" s="935">
        <v>0</v>
      </c>
      <c r="Q136" s="935">
        <v>0</v>
      </c>
      <c r="R136" s="935">
        <v>0</v>
      </c>
      <c r="S136" s="935">
        <v>0</v>
      </c>
      <c r="T136" s="935">
        <v>0</v>
      </c>
      <c r="U136" s="935">
        <f t="shared" si="21"/>
        <v>0</v>
      </c>
    </row>
    <row r="137" spans="1:24" hidden="1" x14ac:dyDescent="0.2">
      <c r="B137" s="668" t="s">
        <v>183</v>
      </c>
      <c r="C137" s="935">
        <v>0</v>
      </c>
      <c r="D137" s="935">
        <v>0</v>
      </c>
      <c r="E137" s="935">
        <v>0</v>
      </c>
      <c r="F137" s="935">
        <v>0</v>
      </c>
      <c r="G137" s="935">
        <v>0</v>
      </c>
      <c r="H137" s="935">
        <v>0</v>
      </c>
      <c r="I137" s="935">
        <v>0</v>
      </c>
      <c r="J137" s="935">
        <v>0</v>
      </c>
      <c r="K137" s="935">
        <v>0</v>
      </c>
      <c r="L137" s="935">
        <v>0</v>
      </c>
      <c r="M137" s="935">
        <v>0</v>
      </c>
      <c r="N137" s="935">
        <v>0</v>
      </c>
      <c r="O137" s="935">
        <v>0</v>
      </c>
      <c r="P137" s="935">
        <v>0</v>
      </c>
      <c r="Q137" s="935">
        <v>0</v>
      </c>
      <c r="R137" s="935">
        <v>0</v>
      </c>
      <c r="S137" s="935">
        <v>0</v>
      </c>
      <c r="T137" s="935">
        <v>0</v>
      </c>
      <c r="U137" s="935">
        <f t="shared" si="21"/>
        <v>0</v>
      </c>
    </row>
    <row r="138" spans="1:24" hidden="1" x14ac:dyDescent="0.2">
      <c r="B138" s="668" t="s">
        <v>184</v>
      </c>
      <c r="C138" s="935">
        <v>0</v>
      </c>
      <c r="D138" s="935">
        <v>0</v>
      </c>
      <c r="E138" s="935">
        <v>0</v>
      </c>
      <c r="F138" s="935">
        <v>0</v>
      </c>
      <c r="G138" s="935">
        <v>0</v>
      </c>
      <c r="H138" s="935">
        <v>0</v>
      </c>
      <c r="I138" s="935">
        <v>0</v>
      </c>
      <c r="J138" s="935">
        <v>0</v>
      </c>
      <c r="K138" s="935">
        <v>0</v>
      </c>
      <c r="L138" s="935">
        <v>0</v>
      </c>
      <c r="M138" s="935">
        <v>0</v>
      </c>
      <c r="N138" s="935">
        <v>0</v>
      </c>
      <c r="O138" s="935">
        <v>0</v>
      </c>
      <c r="P138" s="935">
        <v>0</v>
      </c>
      <c r="Q138" s="935">
        <v>0</v>
      </c>
      <c r="R138" s="935">
        <v>0</v>
      </c>
      <c r="S138" s="935">
        <v>0</v>
      </c>
      <c r="T138" s="935">
        <v>0</v>
      </c>
      <c r="U138" s="935">
        <f t="shared" si="21"/>
        <v>0</v>
      </c>
    </row>
    <row r="139" spans="1:24" hidden="1" x14ac:dyDescent="0.2">
      <c r="B139" s="668" t="s">
        <v>185</v>
      </c>
      <c r="C139" s="935">
        <v>0</v>
      </c>
      <c r="D139" s="935">
        <v>0</v>
      </c>
      <c r="E139" s="935">
        <v>0</v>
      </c>
      <c r="F139" s="935">
        <v>0</v>
      </c>
      <c r="G139" s="935">
        <v>0</v>
      </c>
      <c r="H139" s="935">
        <v>0</v>
      </c>
      <c r="I139" s="935">
        <v>0</v>
      </c>
      <c r="J139" s="935">
        <v>0</v>
      </c>
      <c r="K139" s="935">
        <v>0</v>
      </c>
      <c r="L139" s="935">
        <v>0</v>
      </c>
      <c r="M139" s="935">
        <v>0</v>
      </c>
      <c r="N139" s="935">
        <v>0</v>
      </c>
      <c r="O139" s="935">
        <v>0</v>
      </c>
      <c r="P139" s="935">
        <v>0</v>
      </c>
      <c r="Q139" s="935">
        <v>0</v>
      </c>
      <c r="R139" s="935">
        <v>0</v>
      </c>
      <c r="S139" s="935">
        <v>0</v>
      </c>
      <c r="T139" s="935">
        <v>0</v>
      </c>
      <c r="U139" s="935">
        <f t="shared" si="21"/>
        <v>0</v>
      </c>
    </row>
    <row r="140" spans="1:24" hidden="1" x14ac:dyDescent="0.2">
      <c r="B140" s="668" t="s">
        <v>186</v>
      </c>
      <c r="C140" s="935">
        <v>0</v>
      </c>
      <c r="D140" s="935">
        <v>0</v>
      </c>
      <c r="E140" s="935">
        <v>0</v>
      </c>
      <c r="F140" s="935">
        <v>0</v>
      </c>
      <c r="G140" s="935">
        <v>0</v>
      </c>
      <c r="H140" s="935">
        <v>0</v>
      </c>
      <c r="I140" s="935">
        <v>0</v>
      </c>
      <c r="J140" s="935">
        <v>0</v>
      </c>
      <c r="K140" s="935">
        <v>0</v>
      </c>
      <c r="L140" s="935">
        <v>0</v>
      </c>
      <c r="M140" s="935">
        <v>0</v>
      </c>
      <c r="N140" s="935">
        <v>0</v>
      </c>
      <c r="O140" s="935">
        <v>0</v>
      </c>
      <c r="P140" s="935">
        <v>0</v>
      </c>
      <c r="Q140" s="935">
        <v>0</v>
      </c>
      <c r="R140" s="935">
        <v>0</v>
      </c>
      <c r="S140" s="935">
        <v>0</v>
      </c>
      <c r="T140" s="935">
        <v>0</v>
      </c>
      <c r="U140" s="935">
        <f t="shared" si="21"/>
        <v>0</v>
      </c>
    </row>
    <row r="141" spans="1:24" hidden="1" x14ac:dyDescent="0.2">
      <c r="B141" s="668" t="s">
        <v>187</v>
      </c>
      <c r="C141" s="935">
        <v>0</v>
      </c>
      <c r="D141" s="935">
        <v>0</v>
      </c>
      <c r="E141" s="935">
        <v>0</v>
      </c>
      <c r="F141" s="935">
        <v>0</v>
      </c>
      <c r="G141" s="935">
        <v>0</v>
      </c>
      <c r="H141" s="935">
        <v>0</v>
      </c>
      <c r="I141" s="935">
        <v>0</v>
      </c>
      <c r="J141" s="935">
        <v>0</v>
      </c>
      <c r="K141" s="935">
        <v>0</v>
      </c>
      <c r="L141" s="935">
        <v>0</v>
      </c>
      <c r="M141" s="935">
        <v>0</v>
      </c>
      <c r="N141" s="935">
        <v>0</v>
      </c>
      <c r="O141" s="935">
        <v>0</v>
      </c>
      <c r="P141" s="935">
        <v>0</v>
      </c>
      <c r="Q141" s="935">
        <v>0</v>
      </c>
      <c r="R141" s="935">
        <v>0</v>
      </c>
      <c r="S141" s="935">
        <v>0</v>
      </c>
      <c r="T141" s="935">
        <v>0</v>
      </c>
      <c r="U141" s="935">
        <f t="shared" si="21"/>
        <v>0</v>
      </c>
    </row>
    <row r="142" spans="1:24" hidden="1" x14ac:dyDescent="0.2">
      <c r="B142" s="668" t="s">
        <v>188</v>
      </c>
      <c r="C142" s="935">
        <v>0</v>
      </c>
      <c r="D142" s="935">
        <v>0</v>
      </c>
      <c r="E142" s="935">
        <v>0</v>
      </c>
      <c r="F142" s="935">
        <v>0</v>
      </c>
      <c r="G142" s="935">
        <v>0</v>
      </c>
      <c r="H142" s="935">
        <v>0</v>
      </c>
      <c r="I142" s="935">
        <v>0</v>
      </c>
      <c r="J142" s="935">
        <v>0</v>
      </c>
      <c r="K142" s="935">
        <v>0</v>
      </c>
      <c r="L142" s="935">
        <v>0</v>
      </c>
      <c r="M142" s="935">
        <v>0</v>
      </c>
      <c r="N142" s="935">
        <v>0</v>
      </c>
      <c r="O142" s="935">
        <v>0</v>
      </c>
      <c r="P142" s="935">
        <v>0</v>
      </c>
      <c r="Q142" s="935">
        <v>0</v>
      </c>
      <c r="R142" s="935">
        <v>0</v>
      </c>
      <c r="S142" s="935">
        <v>0</v>
      </c>
      <c r="T142" s="935">
        <v>0</v>
      </c>
      <c r="U142" s="935">
        <f t="shared" si="21"/>
        <v>0</v>
      </c>
    </row>
    <row r="143" spans="1:24" hidden="1" x14ac:dyDescent="0.2">
      <c r="B143" s="668" t="s">
        <v>189</v>
      </c>
      <c r="C143" s="935">
        <v>0</v>
      </c>
      <c r="D143" s="935">
        <v>0</v>
      </c>
      <c r="E143" s="935">
        <v>0</v>
      </c>
      <c r="F143" s="935">
        <v>0</v>
      </c>
      <c r="G143" s="935">
        <v>0</v>
      </c>
      <c r="H143" s="935">
        <v>0</v>
      </c>
      <c r="I143" s="935">
        <v>0</v>
      </c>
      <c r="J143" s="935">
        <v>0</v>
      </c>
      <c r="K143" s="935">
        <v>0</v>
      </c>
      <c r="L143" s="935">
        <v>0</v>
      </c>
      <c r="M143" s="935">
        <v>0</v>
      </c>
      <c r="N143" s="935">
        <v>0</v>
      </c>
      <c r="O143" s="935">
        <v>0</v>
      </c>
      <c r="P143" s="935">
        <v>0</v>
      </c>
      <c r="Q143" s="935">
        <v>0</v>
      </c>
      <c r="R143" s="935">
        <v>0</v>
      </c>
      <c r="S143" s="935">
        <v>0</v>
      </c>
      <c r="T143" s="935">
        <v>0</v>
      </c>
      <c r="U143" s="935">
        <f t="shared" si="21"/>
        <v>0</v>
      </c>
    </row>
    <row r="144" spans="1:24" hidden="1" x14ac:dyDescent="0.2">
      <c r="B144" s="668" t="s">
        <v>190</v>
      </c>
      <c r="C144" s="935">
        <v>0</v>
      </c>
      <c r="D144" s="935">
        <v>0</v>
      </c>
      <c r="E144" s="935">
        <v>0</v>
      </c>
      <c r="F144" s="935">
        <v>0</v>
      </c>
      <c r="G144" s="935">
        <v>0</v>
      </c>
      <c r="H144" s="935">
        <v>0</v>
      </c>
      <c r="I144" s="935">
        <v>0</v>
      </c>
      <c r="J144" s="935">
        <v>0</v>
      </c>
      <c r="K144" s="935">
        <v>0</v>
      </c>
      <c r="L144" s="935">
        <v>0</v>
      </c>
      <c r="M144" s="935">
        <v>0</v>
      </c>
      <c r="N144" s="935">
        <v>0</v>
      </c>
      <c r="O144" s="935">
        <v>0</v>
      </c>
      <c r="P144" s="935">
        <v>0</v>
      </c>
      <c r="Q144" s="935">
        <v>0</v>
      </c>
      <c r="R144" s="935">
        <v>0</v>
      </c>
      <c r="S144" s="935">
        <v>0</v>
      </c>
      <c r="T144" s="935">
        <v>0</v>
      </c>
      <c r="U144" s="935">
        <f t="shared" si="21"/>
        <v>0</v>
      </c>
    </row>
    <row r="145" spans="2:21" hidden="1" x14ac:dyDescent="0.2">
      <c r="B145" s="668" t="s">
        <v>191</v>
      </c>
      <c r="C145" s="935">
        <v>0</v>
      </c>
      <c r="D145" s="935">
        <v>0</v>
      </c>
      <c r="E145" s="935">
        <v>0</v>
      </c>
      <c r="F145" s="935">
        <v>0</v>
      </c>
      <c r="G145" s="935">
        <v>0</v>
      </c>
      <c r="H145" s="935">
        <v>0</v>
      </c>
      <c r="I145" s="935">
        <v>0</v>
      </c>
      <c r="J145" s="935">
        <v>0</v>
      </c>
      <c r="K145" s="935">
        <v>0</v>
      </c>
      <c r="L145" s="935">
        <v>0</v>
      </c>
      <c r="M145" s="935">
        <v>0</v>
      </c>
      <c r="N145" s="935">
        <v>0</v>
      </c>
      <c r="O145" s="935">
        <v>0</v>
      </c>
      <c r="P145" s="935">
        <v>0</v>
      </c>
      <c r="Q145" s="935">
        <v>0</v>
      </c>
      <c r="R145" s="935">
        <v>0</v>
      </c>
      <c r="S145" s="935">
        <v>0</v>
      </c>
      <c r="T145" s="935">
        <v>0</v>
      </c>
      <c r="U145" s="935">
        <f t="shared" si="21"/>
        <v>0</v>
      </c>
    </row>
    <row r="146" spans="2:21" hidden="1" x14ac:dyDescent="0.2">
      <c r="B146" s="668" t="s">
        <v>192</v>
      </c>
      <c r="C146" s="935">
        <v>0</v>
      </c>
      <c r="D146" s="935">
        <v>0</v>
      </c>
      <c r="E146" s="935">
        <v>0</v>
      </c>
      <c r="F146" s="935">
        <v>0</v>
      </c>
      <c r="G146" s="935">
        <v>0</v>
      </c>
      <c r="H146" s="935">
        <v>0</v>
      </c>
      <c r="I146" s="935">
        <v>0</v>
      </c>
      <c r="J146" s="935">
        <v>0</v>
      </c>
      <c r="K146" s="935">
        <v>0</v>
      </c>
      <c r="L146" s="935">
        <v>0</v>
      </c>
      <c r="M146" s="935">
        <v>0</v>
      </c>
      <c r="N146" s="935">
        <v>0</v>
      </c>
      <c r="O146" s="935">
        <v>0</v>
      </c>
      <c r="P146" s="935">
        <v>0</v>
      </c>
      <c r="Q146" s="935">
        <v>0</v>
      </c>
      <c r="R146" s="935">
        <v>0</v>
      </c>
      <c r="S146" s="935">
        <v>0</v>
      </c>
      <c r="T146" s="935">
        <v>0</v>
      </c>
      <c r="U146" s="935">
        <f t="shared" si="21"/>
        <v>0</v>
      </c>
    </row>
    <row r="147" spans="2:21" hidden="1" x14ac:dyDescent="0.2">
      <c r="B147" s="668" t="s">
        <v>193</v>
      </c>
      <c r="C147" s="935">
        <v>0</v>
      </c>
      <c r="D147" s="935">
        <v>0</v>
      </c>
      <c r="E147" s="935">
        <v>0</v>
      </c>
      <c r="F147" s="935">
        <v>0</v>
      </c>
      <c r="G147" s="935">
        <v>0</v>
      </c>
      <c r="H147" s="935">
        <v>0</v>
      </c>
      <c r="I147" s="935">
        <v>0</v>
      </c>
      <c r="J147" s="935">
        <v>0</v>
      </c>
      <c r="K147" s="935">
        <v>0</v>
      </c>
      <c r="L147" s="935">
        <v>0</v>
      </c>
      <c r="M147" s="935">
        <v>0</v>
      </c>
      <c r="N147" s="935">
        <v>0</v>
      </c>
      <c r="O147" s="935">
        <v>0</v>
      </c>
      <c r="P147" s="935">
        <v>0</v>
      </c>
      <c r="Q147" s="935">
        <v>0</v>
      </c>
      <c r="R147" s="935">
        <v>0</v>
      </c>
      <c r="S147" s="935">
        <v>0</v>
      </c>
      <c r="T147" s="935">
        <v>0</v>
      </c>
      <c r="U147" s="935">
        <f t="shared" si="21"/>
        <v>0</v>
      </c>
    </row>
    <row r="148" spans="2:21" hidden="1" x14ac:dyDescent="0.2">
      <c r="B148" s="668" t="s">
        <v>194</v>
      </c>
      <c r="C148" s="935">
        <v>0</v>
      </c>
      <c r="D148" s="935">
        <v>0</v>
      </c>
      <c r="E148" s="935">
        <v>0</v>
      </c>
      <c r="F148" s="935">
        <v>0</v>
      </c>
      <c r="G148" s="935">
        <v>0</v>
      </c>
      <c r="H148" s="935">
        <v>0</v>
      </c>
      <c r="I148" s="935">
        <v>0</v>
      </c>
      <c r="J148" s="935">
        <v>0</v>
      </c>
      <c r="K148" s="935">
        <v>0</v>
      </c>
      <c r="L148" s="935">
        <v>0</v>
      </c>
      <c r="M148" s="935">
        <v>0</v>
      </c>
      <c r="N148" s="935">
        <v>0</v>
      </c>
      <c r="O148" s="935">
        <v>0</v>
      </c>
      <c r="P148" s="935">
        <v>0</v>
      </c>
      <c r="Q148" s="935">
        <v>0</v>
      </c>
      <c r="R148" s="935">
        <v>0</v>
      </c>
      <c r="S148" s="935">
        <v>0</v>
      </c>
      <c r="T148" s="935">
        <v>0</v>
      </c>
      <c r="U148" s="935">
        <f t="shared" si="21"/>
        <v>0</v>
      </c>
    </row>
    <row r="149" spans="2:21" hidden="1" x14ac:dyDescent="0.2">
      <c r="B149" s="668" t="s">
        <v>195</v>
      </c>
      <c r="C149" s="935">
        <v>0</v>
      </c>
      <c r="D149" s="935">
        <v>0</v>
      </c>
      <c r="E149" s="935">
        <v>0</v>
      </c>
      <c r="F149" s="935">
        <v>0</v>
      </c>
      <c r="G149" s="935">
        <v>0</v>
      </c>
      <c r="H149" s="935">
        <v>0</v>
      </c>
      <c r="I149" s="935">
        <v>0</v>
      </c>
      <c r="J149" s="935">
        <v>0</v>
      </c>
      <c r="K149" s="935">
        <v>0</v>
      </c>
      <c r="L149" s="935">
        <v>0</v>
      </c>
      <c r="M149" s="935">
        <v>0</v>
      </c>
      <c r="N149" s="935">
        <v>0</v>
      </c>
      <c r="O149" s="935">
        <v>0</v>
      </c>
      <c r="P149" s="935">
        <v>0</v>
      </c>
      <c r="Q149" s="935">
        <v>0</v>
      </c>
      <c r="R149" s="935">
        <v>0</v>
      </c>
      <c r="S149" s="935">
        <v>0</v>
      </c>
      <c r="T149" s="935">
        <v>0</v>
      </c>
      <c r="U149" s="935">
        <f t="shared" si="21"/>
        <v>0</v>
      </c>
    </row>
    <row r="150" spans="2:21" hidden="1" x14ac:dyDescent="0.2">
      <c r="B150" s="668" t="s">
        <v>196</v>
      </c>
      <c r="C150" s="935">
        <v>0</v>
      </c>
      <c r="D150" s="935">
        <v>0</v>
      </c>
      <c r="E150" s="935">
        <v>0</v>
      </c>
      <c r="F150" s="935">
        <v>0</v>
      </c>
      <c r="G150" s="935">
        <v>0</v>
      </c>
      <c r="H150" s="935">
        <v>0</v>
      </c>
      <c r="I150" s="935">
        <v>0</v>
      </c>
      <c r="J150" s="935">
        <v>0</v>
      </c>
      <c r="K150" s="935">
        <v>0</v>
      </c>
      <c r="L150" s="935">
        <v>0</v>
      </c>
      <c r="M150" s="935">
        <v>0</v>
      </c>
      <c r="N150" s="935">
        <v>0</v>
      </c>
      <c r="O150" s="935">
        <v>0</v>
      </c>
      <c r="P150" s="935">
        <v>0</v>
      </c>
      <c r="Q150" s="935">
        <v>0</v>
      </c>
      <c r="R150" s="935">
        <v>0</v>
      </c>
      <c r="S150" s="935">
        <v>0</v>
      </c>
      <c r="T150" s="935">
        <v>0</v>
      </c>
      <c r="U150" s="935">
        <f t="shared" si="21"/>
        <v>0</v>
      </c>
    </row>
    <row r="151" spans="2:21" hidden="1" x14ac:dyDescent="0.2">
      <c r="B151" s="668" t="s">
        <v>197</v>
      </c>
      <c r="C151" s="935">
        <v>0</v>
      </c>
      <c r="D151" s="935">
        <v>0</v>
      </c>
      <c r="E151" s="935">
        <v>0</v>
      </c>
      <c r="F151" s="935">
        <v>0</v>
      </c>
      <c r="G151" s="935">
        <v>0</v>
      </c>
      <c r="H151" s="935">
        <v>0</v>
      </c>
      <c r="I151" s="935">
        <v>0</v>
      </c>
      <c r="J151" s="935">
        <v>0</v>
      </c>
      <c r="K151" s="935">
        <v>0</v>
      </c>
      <c r="L151" s="935">
        <v>0</v>
      </c>
      <c r="M151" s="935">
        <v>0</v>
      </c>
      <c r="N151" s="935">
        <v>0</v>
      </c>
      <c r="O151" s="935">
        <v>0</v>
      </c>
      <c r="P151" s="935">
        <v>0</v>
      </c>
      <c r="Q151" s="935">
        <v>0</v>
      </c>
      <c r="R151" s="935">
        <v>0</v>
      </c>
      <c r="S151" s="935">
        <v>0</v>
      </c>
      <c r="T151" s="935">
        <v>0</v>
      </c>
      <c r="U151" s="935">
        <f t="shared" si="21"/>
        <v>0</v>
      </c>
    </row>
    <row r="152" spans="2:21" hidden="1" x14ac:dyDescent="0.2">
      <c r="B152" s="668" t="s">
        <v>198</v>
      </c>
      <c r="C152" s="935">
        <v>0</v>
      </c>
      <c r="D152" s="935">
        <v>0</v>
      </c>
      <c r="E152" s="935">
        <v>0</v>
      </c>
      <c r="F152" s="935">
        <v>0</v>
      </c>
      <c r="G152" s="935">
        <v>0</v>
      </c>
      <c r="H152" s="935">
        <v>0</v>
      </c>
      <c r="I152" s="935">
        <v>0</v>
      </c>
      <c r="J152" s="935">
        <v>0</v>
      </c>
      <c r="K152" s="935">
        <v>0</v>
      </c>
      <c r="L152" s="935">
        <v>0</v>
      </c>
      <c r="M152" s="935">
        <v>0</v>
      </c>
      <c r="N152" s="935">
        <v>0</v>
      </c>
      <c r="O152" s="935">
        <v>0</v>
      </c>
      <c r="P152" s="935">
        <v>0</v>
      </c>
      <c r="Q152" s="935">
        <v>0</v>
      </c>
      <c r="R152" s="935">
        <v>0</v>
      </c>
      <c r="S152" s="935">
        <v>0</v>
      </c>
      <c r="T152" s="935">
        <v>0</v>
      </c>
      <c r="U152" s="935">
        <f t="shared" si="21"/>
        <v>0</v>
      </c>
    </row>
    <row r="153" spans="2:21" hidden="1" x14ac:dyDescent="0.2">
      <c r="B153" s="668" t="s">
        <v>199</v>
      </c>
      <c r="C153" s="935">
        <v>0</v>
      </c>
      <c r="D153" s="935">
        <v>0</v>
      </c>
      <c r="E153" s="935">
        <v>0</v>
      </c>
      <c r="F153" s="935">
        <v>0</v>
      </c>
      <c r="G153" s="935">
        <v>0</v>
      </c>
      <c r="H153" s="935">
        <v>0</v>
      </c>
      <c r="I153" s="935">
        <v>0</v>
      </c>
      <c r="J153" s="935">
        <v>0</v>
      </c>
      <c r="K153" s="935">
        <v>0</v>
      </c>
      <c r="L153" s="935">
        <v>0</v>
      </c>
      <c r="M153" s="935">
        <v>0</v>
      </c>
      <c r="N153" s="935">
        <v>0</v>
      </c>
      <c r="O153" s="935">
        <v>0</v>
      </c>
      <c r="P153" s="935">
        <v>0</v>
      </c>
      <c r="Q153" s="935">
        <v>0</v>
      </c>
      <c r="R153" s="935">
        <v>0</v>
      </c>
      <c r="S153" s="935">
        <v>0</v>
      </c>
      <c r="T153" s="935">
        <v>0</v>
      </c>
      <c r="U153" s="935">
        <f t="shared" si="21"/>
        <v>0</v>
      </c>
    </row>
    <row r="154" spans="2:21" hidden="1" x14ac:dyDescent="0.2">
      <c r="B154" s="668" t="s">
        <v>200</v>
      </c>
      <c r="C154" s="935">
        <v>0</v>
      </c>
      <c r="D154" s="935">
        <v>0</v>
      </c>
      <c r="E154" s="935">
        <v>0</v>
      </c>
      <c r="F154" s="935">
        <v>0</v>
      </c>
      <c r="G154" s="935">
        <v>0</v>
      </c>
      <c r="H154" s="935">
        <v>0</v>
      </c>
      <c r="I154" s="935">
        <v>0</v>
      </c>
      <c r="J154" s="935">
        <v>0</v>
      </c>
      <c r="K154" s="935">
        <v>0</v>
      </c>
      <c r="L154" s="935">
        <v>0</v>
      </c>
      <c r="M154" s="935">
        <v>0</v>
      </c>
      <c r="N154" s="935">
        <v>0</v>
      </c>
      <c r="O154" s="935">
        <v>0</v>
      </c>
      <c r="P154" s="935">
        <v>0</v>
      </c>
      <c r="Q154" s="935">
        <v>0</v>
      </c>
      <c r="R154" s="935">
        <v>0</v>
      </c>
      <c r="S154" s="935">
        <v>0</v>
      </c>
      <c r="T154" s="935">
        <v>0</v>
      </c>
      <c r="U154" s="935">
        <f t="shared" si="21"/>
        <v>0</v>
      </c>
    </row>
    <row r="155" spans="2:21" hidden="1" x14ac:dyDescent="0.2">
      <c r="B155" s="668" t="s">
        <v>201</v>
      </c>
      <c r="C155" s="935">
        <v>0</v>
      </c>
      <c r="D155" s="935">
        <v>0</v>
      </c>
      <c r="E155" s="935">
        <v>0</v>
      </c>
      <c r="F155" s="935">
        <v>0</v>
      </c>
      <c r="G155" s="935">
        <v>0</v>
      </c>
      <c r="H155" s="935">
        <v>0</v>
      </c>
      <c r="I155" s="935">
        <v>0</v>
      </c>
      <c r="J155" s="935">
        <v>0</v>
      </c>
      <c r="K155" s="935">
        <v>0</v>
      </c>
      <c r="L155" s="935">
        <v>0</v>
      </c>
      <c r="M155" s="935">
        <v>0</v>
      </c>
      <c r="N155" s="935">
        <v>0</v>
      </c>
      <c r="O155" s="935">
        <v>0</v>
      </c>
      <c r="P155" s="935">
        <v>0</v>
      </c>
      <c r="Q155" s="935">
        <v>0</v>
      </c>
      <c r="R155" s="935">
        <v>0</v>
      </c>
      <c r="S155" s="935">
        <v>0</v>
      </c>
      <c r="T155" s="935">
        <v>0</v>
      </c>
      <c r="U155" s="935">
        <f t="shared" si="21"/>
        <v>0</v>
      </c>
    </row>
    <row r="156" spans="2:21" hidden="1" x14ac:dyDescent="0.2">
      <c r="B156" s="668" t="s">
        <v>202</v>
      </c>
      <c r="C156" s="935">
        <v>0</v>
      </c>
      <c r="D156" s="935">
        <v>0</v>
      </c>
      <c r="E156" s="935">
        <v>0</v>
      </c>
      <c r="F156" s="935">
        <v>0</v>
      </c>
      <c r="G156" s="935">
        <v>0</v>
      </c>
      <c r="H156" s="935">
        <v>0</v>
      </c>
      <c r="I156" s="935">
        <v>0</v>
      </c>
      <c r="J156" s="935">
        <v>0</v>
      </c>
      <c r="K156" s="935">
        <v>0</v>
      </c>
      <c r="L156" s="935">
        <v>0</v>
      </c>
      <c r="M156" s="935">
        <v>0</v>
      </c>
      <c r="N156" s="935">
        <v>0</v>
      </c>
      <c r="O156" s="935">
        <v>0</v>
      </c>
      <c r="P156" s="935">
        <v>0</v>
      </c>
      <c r="Q156" s="935">
        <v>0</v>
      </c>
      <c r="R156" s="935">
        <v>0</v>
      </c>
      <c r="S156" s="935">
        <v>0</v>
      </c>
      <c r="T156" s="935">
        <v>0</v>
      </c>
      <c r="U156" s="935">
        <f t="shared" si="21"/>
        <v>0</v>
      </c>
    </row>
    <row r="157" spans="2:21" hidden="1" x14ac:dyDescent="0.2">
      <c r="B157" s="668" t="s">
        <v>203</v>
      </c>
      <c r="C157" s="935">
        <v>0</v>
      </c>
      <c r="D157" s="935">
        <v>0</v>
      </c>
      <c r="E157" s="935">
        <v>0</v>
      </c>
      <c r="F157" s="935">
        <v>0</v>
      </c>
      <c r="G157" s="935">
        <v>0</v>
      </c>
      <c r="H157" s="935">
        <v>0</v>
      </c>
      <c r="I157" s="935">
        <v>0</v>
      </c>
      <c r="J157" s="935">
        <v>0</v>
      </c>
      <c r="K157" s="935">
        <v>0</v>
      </c>
      <c r="L157" s="935">
        <v>0</v>
      </c>
      <c r="M157" s="935">
        <v>0</v>
      </c>
      <c r="N157" s="935">
        <v>0</v>
      </c>
      <c r="O157" s="935">
        <v>0</v>
      </c>
      <c r="P157" s="935">
        <v>0</v>
      </c>
      <c r="Q157" s="935">
        <v>0</v>
      </c>
      <c r="R157" s="935">
        <v>0</v>
      </c>
      <c r="S157" s="935">
        <v>0</v>
      </c>
      <c r="T157" s="935">
        <v>0</v>
      </c>
      <c r="U157" s="935">
        <f t="shared" si="21"/>
        <v>0</v>
      </c>
    </row>
    <row r="158" spans="2:21" hidden="1" x14ac:dyDescent="0.2">
      <c r="B158" s="668" t="s">
        <v>204</v>
      </c>
      <c r="C158" s="935">
        <v>0</v>
      </c>
      <c r="D158" s="935">
        <v>0</v>
      </c>
      <c r="E158" s="935">
        <v>0</v>
      </c>
      <c r="F158" s="935">
        <v>0</v>
      </c>
      <c r="G158" s="935">
        <v>0</v>
      </c>
      <c r="H158" s="935">
        <v>0</v>
      </c>
      <c r="I158" s="935">
        <v>0</v>
      </c>
      <c r="J158" s="935">
        <v>0</v>
      </c>
      <c r="K158" s="935">
        <v>0</v>
      </c>
      <c r="L158" s="935">
        <v>0</v>
      </c>
      <c r="M158" s="935">
        <v>0</v>
      </c>
      <c r="N158" s="935">
        <v>0</v>
      </c>
      <c r="O158" s="935">
        <v>0</v>
      </c>
      <c r="P158" s="935">
        <v>0</v>
      </c>
      <c r="Q158" s="935">
        <v>0</v>
      </c>
      <c r="R158" s="935">
        <v>0</v>
      </c>
      <c r="S158" s="935">
        <v>0</v>
      </c>
      <c r="T158" s="935">
        <v>0</v>
      </c>
      <c r="U158" s="935">
        <f t="shared" si="21"/>
        <v>0</v>
      </c>
    </row>
    <row r="159" spans="2:21" hidden="1" x14ac:dyDescent="0.2">
      <c r="B159" s="668" t="s">
        <v>205</v>
      </c>
      <c r="C159" s="935">
        <v>0</v>
      </c>
      <c r="D159" s="935">
        <v>0</v>
      </c>
      <c r="E159" s="935">
        <v>0</v>
      </c>
      <c r="F159" s="935">
        <v>0</v>
      </c>
      <c r="G159" s="935">
        <v>0</v>
      </c>
      <c r="H159" s="935">
        <v>0</v>
      </c>
      <c r="I159" s="935">
        <v>0</v>
      </c>
      <c r="J159" s="935">
        <v>0</v>
      </c>
      <c r="K159" s="935">
        <v>0</v>
      </c>
      <c r="L159" s="935">
        <v>0</v>
      </c>
      <c r="M159" s="935">
        <v>0</v>
      </c>
      <c r="N159" s="935">
        <v>0</v>
      </c>
      <c r="O159" s="935">
        <v>0</v>
      </c>
      <c r="P159" s="935">
        <v>0</v>
      </c>
      <c r="Q159" s="935">
        <v>0</v>
      </c>
      <c r="R159" s="935">
        <v>0</v>
      </c>
      <c r="S159" s="935">
        <v>0</v>
      </c>
      <c r="T159" s="935">
        <v>0</v>
      </c>
      <c r="U159" s="935">
        <f t="shared" si="21"/>
        <v>0</v>
      </c>
    </row>
    <row r="160" spans="2:21" hidden="1" x14ac:dyDescent="0.2">
      <c r="B160" s="668" t="s">
        <v>206</v>
      </c>
      <c r="C160" s="935">
        <v>0</v>
      </c>
      <c r="D160" s="935">
        <v>0</v>
      </c>
      <c r="E160" s="935">
        <v>0</v>
      </c>
      <c r="F160" s="935">
        <v>0</v>
      </c>
      <c r="G160" s="935">
        <v>0</v>
      </c>
      <c r="H160" s="935">
        <v>0</v>
      </c>
      <c r="I160" s="935">
        <v>0</v>
      </c>
      <c r="J160" s="935">
        <v>0</v>
      </c>
      <c r="K160" s="935">
        <v>0</v>
      </c>
      <c r="L160" s="935">
        <v>0</v>
      </c>
      <c r="M160" s="935">
        <v>0</v>
      </c>
      <c r="N160" s="935">
        <v>0</v>
      </c>
      <c r="O160" s="935">
        <v>0</v>
      </c>
      <c r="P160" s="935">
        <v>0</v>
      </c>
      <c r="Q160" s="935">
        <v>0</v>
      </c>
      <c r="R160" s="935">
        <v>0</v>
      </c>
      <c r="S160" s="935">
        <v>0</v>
      </c>
      <c r="T160" s="935">
        <v>0</v>
      </c>
      <c r="U160" s="935">
        <f t="shared" si="21"/>
        <v>0</v>
      </c>
    </row>
    <row r="161" spans="1:21" hidden="1" x14ac:dyDescent="0.2">
      <c r="B161" s="668" t="s">
        <v>207</v>
      </c>
      <c r="C161" s="935">
        <v>0</v>
      </c>
      <c r="D161" s="935">
        <v>0</v>
      </c>
      <c r="E161" s="935">
        <v>0</v>
      </c>
      <c r="F161" s="935">
        <v>0</v>
      </c>
      <c r="G161" s="935">
        <v>0</v>
      </c>
      <c r="H161" s="935">
        <v>0</v>
      </c>
      <c r="I161" s="935">
        <v>0</v>
      </c>
      <c r="J161" s="935">
        <v>0</v>
      </c>
      <c r="K161" s="935">
        <v>0</v>
      </c>
      <c r="L161" s="935">
        <v>0</v>
      </c>
      <c r="M161" s="935">
        <v>0</v>
      </c>
      <c r="N161" s="935">
        <v>0</v>
      </c>
      <c r="O161" s="935">
        <v>0</v>
      </c>
      <c r="P161" s="935">
        <v>0</v>
      </c>
      <c r="Q161" s="935">
        <v>0</v>
      </c>
      <c r="R161" s="935">
        <v>0</v>
      </c>
      <c r="S161" s="935">
        <v>0</v>
      </c>
      <c r="T161" s="935">
        <v>0</v>
      </c>
      <c r="U161" s="935">
        <f t="shared" si="21"/>
        <v>0</v>
      </c>
    </row>
    <row r="162" spans="1:21" hidden="1" x14ac:dyDescent="0.2">
      <c r="B162" s="668" t="s">
        <v>208</v>
      </c>
      <c r="C162" s="935">
        <v>0</v>
      </c>
      <c r="D162" s="935">
        <v>0</v>
      </c>
      <c r="E162" s="935">
        <v>0</v>
      </c>
      <c r="F162" s="935">
        <v>0</v>
      </c>
      <c r="G162" s="935">
        <v>0</v>
      </c>
      <c r="H162" s="935">
        <v>0</v>
      </c>
      <c r="I162" s="935">
        <v>0</v>
      </c>
      <c r="J162" s="935">
        <v>0</v>
      </c>
      <c r="K162" s="935">
        <v>0</v>
      </c>
      <c r="L162" s="935">
        <v>0</v>
      </c>
      <c r="M162" s="935">
        <v>0</v>
      </c>
      <c r="N162" s="935">
        <v>0</v>
      </c>
      <c r="O162" s="935">
        <v>0</v>
      </c>
      <c r="P162" s="935">
        <v>0</v>
      </c>
      <c r="Q162" s="935">
        <v>0</v>
      </c>
      <c r="R162" s="935">
        <v>0</v>
      </c>
      <c r="S162" s="935">
        <v>0</v>
      </c>
      <c r="T162" s="935">
        <v>0</v>
      </c>
      <c r="U162" s="935">
        <f t="shared" si="21"/>
        <v>0</v>
      </c>
    </row>
    <row r="163" spans="1:21" hidden="1" x14ac:dyDescent="0.2">
      <c r="B163" s="668" t="s">
        <v>209</v>
      </c>
      <c r="C163" s="935">
        <v>0</v>
      </c>
      <c r="D163" s="935">
        <v>0</v>
      </c>
      <c r="E163" s="935">
        <v>0</v>
      </c>
      <c r="F163" s="935">
        <v>0</v>
      </c>
      <c r="G163" s="935">
        <v>0</v>
      </c>
      <c r="H163" s="935">
        <v>0</v>
      </c>
      <c r="I163" s="935">
        <v>0</v>
      </c>
      <c r="J163" s="935">
        <v>0</v>
      </c>
      <c r="K163" s="935">
        <v>0</v>
      </c>
      <c r="L163" s="935">
        <v>0</v>
      </c>
      <c r="M163" s="935">
        <v>0</v>
      </c>
      <c r="N163" s="935">
        <v>0</v>
      </c>
      <c r="O163" s="935">
        <v>0</v>
      </c>
      <c r="P163" s="935">
        <v>0</v>
      </c>
      <c r="Q163" s="935">
        <v>0</v>
      </c>
      <c r="R163" s="935">
        <v>0</v>
      </c>
      <c r="S163" s="935">
        <v>0</v>
      </c>
      <c r="T163" s="935">
        <v>0</v>
      </c>
      <c r="U163" s="935">
        <f t="shared" si="21"/>
        <v>0</v>
      </c>
    </row>
    <row r="164" spans="1:21" hidden="1" x14ac:dyDescent="0.2">
      <c r="B164" s="668" t="s">
        <v>210</v>
      </c>
      <c r="C164" s="935">
        <v>0</v>
      </c>
      <c r="D164" s="935">
        <v>0</v>
      </c>
      <c r="E164" s="935">
        <v>0</v>
      </c>
      <c r="F164" s="935">
        <v>0</v>
      </c>
      <c r="G164" s="935">
        <v>0</v>
      </c>
      <c r="H164" s="935">
        <v>0</v>
      </c>
      <c r="I164" s="935">
        <v>0</v>
      </c>
      <c r="J164" s="935">
        <v>0</v>
      </c>
      <c r="K164" s="935">
        <v>0</v>
      </c>
      <c r="L164" s="935">
        <v>0</v>
      </c>
      <c r="M164" s="935">
        <v>0</v>
      </c>
      <c r="N164" s="935">
        <v>0</v>
      </c>
      <c r="O164" s="935">
        <v>0</v>
      </c>
      <c r="P164" s="935">
        <v>0</v>
      </c>
      <c r="Q164" s="935">
        <v>0</v>
      </c>
      <c r="R164" s="935">
        <v>0</v>
      </c>
      <c r="S164" s="935">
        <v>0</v>
      </c>
      <c r="T164" s="935">
        <v>0</v>
      </c>
      <c r="U164" s="935">
        <f t="shared" si="21"/>
        <v>0</v>
      </c>
    </row>
    <row r="165" spans="1:21" hidden="1" x14ac:dyDescent="0.2">
      <c r="B165" s="668" t="s">
        <v>211</v>
      </c>
      <c r="C165" s="935">
        <v>0</v>
      </c>
      <c r="D165" s="935">
        <v>0</v>
      </c>
      <c r="E165" s="935">
        <v>0</v>
      </c>
      <c r="F165" s="935">
        <v>0</v>
      </c>
      <c r="G165" s="935">
        <v>0</v>
      </c>
      <c r="H165" s="935">
        <v>0</v>
      </c>
      <c r="I165" s="935">
        <v>0</v>
      </c>
      <c r="J165" s="935">
        <v>0</v>
      </c>
      <c r="K165" s="935">
        <v>0</v>
      </c>
      <c r="L165" s="935">
        <v>0</v>
      </c>
      <c r="M165" s="935">
        <v>0</v>
      </c>
      <c r="N165" s="935">
        <v>0</v>
      </c>
      <c r="O165" s="935">
        <v>0</v>
      </c>
      <c r="P165" s="935">
        <v>0</v>
      </c>
      <c r="Q165" s="935">
        <v>0</v>
      </c>
      <c r="R165" s="935">
        <v>0</v>
      </c>
      <c r="S165" s="935">
        <v>0</v>
      </c>
      <c r="T165" s="935">
        <v>0</v>
      </c>
      <c r="U165" s="935">
        <f t="shared" si="21"/>
        <v>0</v>
      </c>
    </row>
    <row r="166" spans="1:21" hidden="1" x14ac:dyDescent="0.2">
      <c r="B166" s="668" t="s">
        <v>212</v>
      </c>
      <c r="C166" s="935">
        <v>0</v>
      </c>
      <c r="D166" s="935">
        <v>0</v>
      </c>
      <c r="E166" s="935">
        <v>0</v>
      </c>
      <c r="F166" s="935">
        <v>0</v>
      </c>
      <c r="G166" s="935">
        <v>0</v>
      </c>
      <c r="H166" s="935">
        <v>0</v>
      </c>
      <c r="I166" s="935">
        <v>0</v>
      </c>
      <c r="J166" s="935">
        <v>0</v>
      </c>
      <c r="K166" s="935">
        <v>0</v>
      </c>
      <c r="L166" s="935">
        <v>0</v>
      </c>
      <c r="M166" s="935">
        <v>0</v>
      </c>
      <c r="N166" s="935">
        <v>0</v>
      </c>
      <c r="O166" s="935">
        <v>0</v>
      </c>
      <c r="P166" s="935">
        <v>0</v>
      </c>
      <c r="Q166" s="935">
        <v>0</v>
      </c>
      <c r="R166" s="935">
        <v>0</v>
      </c>
      <c r="S166" s="935">
        <v>0</v>
      </c>
      <c r="T166" s="935">
        <v>0</v>
      </c>
      <c r="U166" s="935">
        <f t="shared" si="21"/>
        <v>0</v>
      </c>
    </row>
    <row r="167" spans="1:21" hidden="1" x14ac:dyDescent="0.2">
      <c r="B167" s="668" t="s">
        <v>213</v>
      </c>
      <c r="C167" s="935">
        <v>0</v>
      </c>
      <c r="D167" s="935">
        <v>0</v>
      </c>
      <c r="E167" s="935">
        <v>0</v>
      </c>
      <c r="F167" s="935">
        <v>0</v>
      </c>
      <c r="G167" s="935">
        <v>0</v>
      </c>
      <c r="H167" s="935">
        <v>0</v>
      </c>
      <c r="I167" s="935">
        <v>0</v>
      </c>
      <c r="J167" s="935">
        <v>0</v>
      </c>
      <c r="K167" s="935">
        <v>0</v>
      </c>
      <c r="L167" s="935">
        <v>0</v>
      </c>
      <c r="M167" s="935">
        <v>0</v>
      </c>
      <c r="N167" s="935">
        <v>0</v>
      </c>
      <c r="O167" s="935">
        <v>0</v>
      </c>
      <c r="P167" s="935">
        <v>0</v>
      </c>
      <c r="Q167" s="935">
        <v>0</v>
      </c>
      <c r="R167" s="935">
        <v>0</v>
      </c>
      <c r="S167" s="935">
        <v>0</v>
      </c>
      <c r="T167" s="935">
        <v>0</v>
      </c>
      <c r="U167" s="935">
        <f t="shared" si="21"/>
        <v>0</v>
      </c>
    </row>
    <row r="168" spans="1:21" hidden="1" x14ac:dyDescent="0.2">
      <c r="B168" s="668" t="s">
        <v>214</v>
      </c>
      <c r="C168" s="935">
        <v>0</v>
      </c>
      <c r="D168" s="935">
        <v>0</v>
      </c>
      <c r="E168" s="935">
        <v>0</v>
      </c>
      <c r="F168" s="935">
        <v>0</v>
      </c>
      <c r="G168" s="935">
        <v>0</v>
      </c>
      <c r="H168" s="935">
        <v>0</v>
      </c>
      <c r="I168" s="935">
        <v>0</v>
      </c>
      <c r="J168" s="935">
        <v>0</v>
      </c>
      <c r="K168" s="935">
        <v>0</v>
      </c>
      <c r="L168" s="935">
        <v>0</v>
      </c>
      <c r="M168" s="935">
        <v>0</v>
      </c>
      <c r="N168" s="935">
        <v>0</v>
      </c>
      <c r="O168" s="935">
        <v>0</v>
      </c>
      <c r="P168" s="935">
        <v>0</v>
      </c>
      <c r="Q168" s="935">
        <v>0</v>
      </c>
      <c r="R168" s="935">
        <v>0</v>
      </c>
      <c r="S168" s="935">
        <v>0</v>
      </c>
      <c r="T168" s="935">
        <v>0</v>
      </c>
      <c r="U168" s="935">
        <f t="shared" si="21"/>
        <v>0</v>
      </c>
    </row>
    <row r="169" spans="1:21" hidden="1" x14ac:dyDescent="0.2">
      <c r="B169" s="668" t="s">
        <v>215</v>
      </c>
      <c r="C169" s="935">
        <v>0</v>
      </c>
      <c r="D169" s="935">
        <v>0</v>
      </c>
      <c r="E169" s="935">
        <v>0</v>
      </c>
      <c r="F169" s="935">
        <v>0</v>
      </c>
      <c r="G169" s="935">
        <v>0</v>
      </c>
      <c r="H169" s="935">
        <v>0</v>
      </c>
      <c r="I169" s="935">
        <v>0</v>
      </c>
      <c r="J169" s="935">
        <v>0</v>
      </c>
      <c r="K169" s="935">
        <v>0</v>
      </c>
      <c r="L169" s="935">
        <v>0</v>
      </c>
      <c r="M169" s="935">
        <v>0</v>
      </c>
      <c r="N169" s="935">
        <v>0</v>
      </c>
      <c r="O169" s="935">
        <v>0</v>
      </c>
      <c r="P169" s="935">
        <v>0</v>
      </c>
      <c r="Q169" s="935">
        <v>0</v>
      </c>
      <c r="R169" s="935">
        <v>0</v>
      </c>
      <c r="S169" s="935">
        <v>0</v>
      </c>
      <c r="T169" s="935">
        <v>0</v>
      </c>
      <c r="U169" s="935">
        <f t="shared" si="21"/>
        <v>0</v>
      </c>
    </row>
    <row r="170" spans="1:21" hidden="1" x14ac:dyDescent="0.2">
      <c r="B170" s="668" t="s">
        <v>216</v>
      </c>
      <c r="C170" s="935">
        <v>0</v>
      </c>
      <c r="D170" s="935">
        <v>0</v>
      </c>
      <c r="E170" s="935">
        <v>0</v>
      </c>
      <c r="F170" s="935">
        <v>0</v>
      </c>
      <c r="G170" s="935">
        <v>0</v>
      </c>
      <c r="H170" s="935">
        <v>0</v>
      </c>
      <c r="I170" s="935">
        <v>0</v>
      </c>
      <c r="J170" s="935">
        <v>0</v>
      </c>
      <c r="K170" s="935">
        <v>0</v>
      </c>
      <c r="L170" s="935">
        <v>0</v>
      </c>
      <c r="M170" s="935">
        <v>0</v>
      </c>
      <c r="N170" s="935">
        <v>0</v>
      </c>
      <c r="O170" s="935">
        <v>0</v>
      </c>
      <c r="P170" s="935">
        <v>0</v>
      </c>
      <c r="Q170" s="935">
        <v>0</v>
      </c>
      <c r="R170" s="935">
        <v>0</v>
      </c>
      <c r="S170" s="935">
        <v>0</v>
      </c>
      <c r="T170" s="935">
        <v>0</v>
      </c>
      <c r="U170" s="935">
        <f t="shared" si="21"/>
        <v>0</v>
      </c>
    </row>
    <row r="171" spans="1:21" hidden="1" x14ac:dyDescent="0.2">
      <c r="B171" s="668" t="s">
        <v>217</v>
      </c>
      <c r="C171" s="935">
        <v>0</v>
      </c>
      <c r="D171" s="935">
        <v>0</v>
      </c>
      <c r="E171" s="935">
        <v>0</v>
      </c>
      <c r="F171" s="935">
        <v>0</v>
      </c>
      <c r="G171" s="935">
        <v>0</v>
      </c>
      <c r="H171" s="935">
        <v>0</v>
      </c>
      <c r="I171" s="935">
        <v>0</v>
      </c>
      <c r="J171" s="935">
        <v>0</v>
      </c>
      <c r="K171" s="935">
        <v>0</v>
      </c>
      <c r="L171" s="935">
        <v>0</v>
      </c>
      <c r="M171" s="935">
        <v>0</v>
      </c>
      <c r="N171" s="935">
        <v>0</v>
      </c>
      <c r="O171" s="935">
        <v>0</v>
      </c>
      <c r="P171" s="935">
        <v>0</v>
      </c>
      <c r="Q171" s="935">
        <v>0</v>
      </c>
      <c r="R171" s="935">
        <v>0</v>
      </c>
      <c r="S171" s="935">
        <v>0</v>
      </c>
      <c r="T171" s="935">
        <v>0</v>
      </c>
      <c r="U171" s="935">
        <f t="shared" si="21"/>
        <v>0</v>
      </c>
    </row>
    <row r="172" spans="1:21" hidden="1" x14ac:dyDescent="0.2">
      <c r="B172" s="668" t="s">
        <v>218</v>
      </c>
      <c r="C172" s="935">
        <v>0</v>
      </c>
      <c r="D172" s="935">
        <v>0</v>
      </c>
      <c r="E172" s="935">
        <v>0</v>
      </c>
      <c r="F172" s="935">
        <v>0</v>
      </c>
      <c r="G172" s="935">
        <v>0</v>
      </c>
      <c r="H172" s="935">
        <v>0</v>
      </c>
      <c r="I172" s="935">
        <v>0</v>
      </c>
      <c r="J172" s="935">
        <v>0</v>
      </c>
      <c r="K172" s="935">
        <v>0</v>
      </c>
      <c r="L172" s="935">
        <v>0</v>
      </c>
      <c r="M172" s="935">
        <v>0</v>
      </c>
      <c r="N172" s="935">
        <v>0</v>
      </c>
      <c r="O172" s="935">
        <v>0</v>
      </c>
      <c r="P172" s="935">
        <v>0</v>
      </c>
      <c r="Q172" s="935">
        <v>0</v>
      </c>
      <c r="R172" s="935">
        <v>0</v>
      </c>
      <c r="S172" s="935">
        <v>0</v>
      </c>
      <c r="T172" s="935">
        <v>0</v>
      </c>
      <c r="U172" s="935">
        <f t="shared" si="21"/>
        <v>0</v>
      </c>
    </row>
    <row r="173" spans="1:21" hidden="1" x14ac:dyDescent="0.2">
      <c r="B173" s="668" t="s">
        <v>219</v>
      </c>
      <c r="C173" s="935">
        <v>0</v>
      </c>
      <c r="D173" s="935">
        <v>0</v>
      </c>
      <c r="E173" s="935">
        <v>0</v>
      </c>
      <c r="F173" s="935">
        <v>0</v>
      </c>
      <c r="G173" s="935">
        <v>0</v>
      </c>
      <c r="H173" s="935">
        <v>0</v>
      </c>
      <c r="I173" s="935">
        <v>0</v>
      </c>
      <c r="J173" s="935">
        <v>0</v>
      </c>
      <c r="K173" s="935">
        <v>0</v>
      </c>
      <c r="L173" s="935">
        <v>0</v>
      </c>
      <c r="M173" s="935">
        <v>0</v>
      </c>
      <c r="N173" s="935">
        <v>0</v>
      </c>
      <c r="O173" s="935">
        <v>0</v>
      </c>
      <c r="P173" s="935">
        <v>0</v>
      </c>
      <c r="Q173" s="935">
        <v>0</v>
      </c>
      <c r="R173" s="935">
        <v>0</v>
      </c>
      <c r="S173" s="935">
        <v>0</v>
      </c>
      <c r="T173" s="935">
        <v>0</v>
      </c>
      <c r="U173" s="935">
        <f t="shared" si="21"/>
        <v>0</v>
      </c>
    </row>
    <row r="174" spans="1:21" hidden="1" x14ac:dyDescent="0.2">
      <c r="B174" s="668" t="s">
        <v>220</v>
      </c>
      <c r="C174" s="935">
        <v>0</v>
      </c>
      <c r="D174" s="935">
        <v>0</v>
      </c>
      <c r="E174" s="935">
        <v>0</v>
      </c>
      <c r="F174" s="935">
        <v>0</v>
      </c>
      <c r="G174" s="935">
        <v>0</v>
      </c>
      <c r="H174" s="935">
        <v>0</v>
      </c>
      <c r="I174" s="935">
        <v>0</v>
      </c>
      <c r="J174" s="935">
        <v>0</v>
      </c>
      <c r="K174" s="935">
        <v>0</v>
      </c>
      <c r="L174" s="935">
        <v>0</v>
      </c>
      <c r="M174" s="935">
        <v>0</v>
      </c>
      <c r="N174" s="935">
        <v>0</v>
      </c>
      <c r="O174" s="935">
        <v>0</v>
      </c>
      <c r="P174" s="935">
        <v>0</v>
      </c>
      <c r="Q174" s="935">
        <v>0</v>
      </c>
      <c r="R174" s="935">
        <v>0</v>
      </c>
      <c r="S174" s="935">
        <v>0</v>
      </c>
      <c r="T174" s="935">
        <v>0</v>
      </c>
      <c r="U174" s="935">
        <f t="shared" si="21"/>
        <v>0</v>
      </c>
    </row>
    <row r="175" spans="1:21" hidden="1" x14ac:dyDescent="0.2">
      <c r="B175" s="668" t="s">
        <v>221</v>
      </c>
      <c r="C175" s="935">
        <v>0</v>
      </c>
      <c r="D175" s="935">
        <v>0</v>
      </c>
      <c r="E175" s="935">
        <v>0</v>
      </c>
      <c r="F175" s="935">
        <v>0</v>
      </c>
      <c r="G175" s="935">
        <v>0</v>
      </c>
      <c r="H175" s="935">
        <v>0</v>
      </c>
      <c r="I175" s="935">
        <v>0</v>
      </c>
      <c r="J175" s="935">
        <v>0</v>
      </c>
      <c r="K175" s="935">
        <v>0</v>
      </c>
      <c r="L175" s="935">
        <v>0</v>
      </c>
      <c r="M175" s="935">
        <v>0</v>
      </c>
      <c r="N175" s="935">
        <v>0</v>
      </c>
      <c r="O175" s="935">
        <v>0</v>
      </c>
      <c r="P175" s="935">
        <v>0</v>
      </c>
      <c r="Q175" s="935">
        <v>0</v>
      </c>
      <c r="R175" s="935">
        <v>0</v>
      </c>
      <c r="S175" s="935">
        <v>0</v>
      </c>
      <c r="T175" s="935">
        <v>0</v>
      </c>
      <c r="U175" s="935">
        <f t="shared" si="21"/>
        <v>0</v>
      </c>
    </row>
    <row r="176" spans="1:21" hidden="1" x14ac:dyDescent="0.2">
      <c r="A176" s="667" t="s">
        <v>10</v>
      </c>
      <c r="B176" s="668" t="s">
        <v>142</v>
      </c>
      <c r="C176" s="935">
        <v>0</v>
      </c>
      <c r="D176" s="935">
        <v>0</v>
      </c>
      <c r="E176" s="935">
        <v>0</v>
      </c>
      <c r="F176" s="935">
        <v>0</v>
      </c>
      <c r="G176" s="935">
        <v>0</v>
      </c>
      <c r="H176" s="935">
        <v>0</v>
      </c>
      <c r="I176" s="935">
        <v>0</v>
      </c>
      <c r="J176" s="935">
        <v>0</v>
      </c>
      <c r="K176" s="935">
        <v>0</v>
      </c>
      <c r="L176" s="935">
        <v>0</v>
      </c>
      <c r="M176" s="935">
        <v>0</v>
      </c>
      <c r="N176" s="935">
        <v>0</v>
      </c>
      <c r="O176" s="935">
        <v>0</v>
      </c>
      <c r="P176" s="935">
        <v>0</v>
      </c>
      <c r="Q176" s="935">
        <v>0</v>
      </c>
      <c r="R176" s="935">
        <v>0</v>
      </c>
      <c r="S176" s="935">
        <v>0</v>
      </c>
      <c r="T176" s="935">
        <v>0</v>
      </c>
      <c r="U176" s="935">
        <f t="shared" si="21"/>
        <v>0</v>
      </c>
    </row>
    <row r="177" spans="1:21" hidden="1" x14ac:dyDescent="0.2">
      <c r="A177" s="667" t="s">
        <v>10</v>
      </c>
      <c r="B177" s="668" t="s">
        <v>141</v>
      </c>
      <c r="C177" s="935">
        <v>0</v>
      </c>
      <c r="D177" s="935">
        <v>0</v>
      </c>
      <c r="E177" s="935">
        <v>0</v>
      </c>
      <c r="F177" s="935">
        <v>0</v>
      </c>
      <c r="G177" s="935">
        <v>0</v>
      </c>
      <c r="H177" s="935">
        <v>0</v>
      </c>
      <c r="I177" s="935">
        <v>0</v>
      </c>
      <c r="J177" s="935">
        <v>0</v>
      </c>
      <c r="K177" s="935">
        <v>0</v>
      </c>
      <c r="L177" s="935">
        <v>0</v>
      </c>
      <c r="M177" s="935">
        <v>0</v>
      </c>
      <c r="N177" s="935">
        <v>0</v>
      </c>
      <c r="O177" s="935">
        <v>0</v>
      </c>
      <c r="P177" s="935">
        <v>0</v>
      </c>
      <c r="Q177" s="935">
        <v>0</v>
      </c>
      <c r="R177" s="935">
        <v>0</v>
      </c>
      <c r="S177" s="935">
        <v>0</v>
      </c>
      <c r="T177" s="935">
        <v>0</v>
      </c>
      <c r="U177" s="935">
        <f t="shared" si="21"/>
        <v>0</v>
      </c>
    </row>
    <row r="178" spans="1:21" hidden="1" x14ac:dyDescent="0.2">
      <c r="A178" s="667" t="s">
        <v>33</v>
      </c>
      <c r="B178" s="668" t="s">
        <v>222</v>
      </c>
      <c r="C178" s="935">
        <v>0</v>
      </c>
      <c r="D178" s="935">
        <v>0</v>
      </c>
      <c r="E178" s="935">
        <v>0</v>
      </c>
      <c r="F178" s="935">
        <v>0</v>
      </c>
      <c r="G178" s="935">
        <v>0</v>
      </c>
      <c r="H178" s="935">
        <v>0</v>
      </c>
      <c r="I178" s="935">
        <v>0</v>
      </c>
      <c r="J178" s="935">
        <v>0</v>
      </c>
      <c r="K178" s="935">
        <v>0</v>
      </c>
      <c r="L178" s="935">
        <v>0</v>
      </c>
      <c r="M178" s="935">
        <v>0</v>
      </c>
      <c r="N178" s="935">
        <v>0</v>
      </c>
      <c r="O178" s="935">
        <v>0</v>
      </c>
      <c r="P178" s="935">
        <v>0</v>
      </c>
      <c r="Q178" s="935">
        <v>0</v>
      </c>
      <c r="R178" s="935">
        <v>0</v>
      </c>
      <c r="S178" s="935">
        <v>0</v>
      </c>
      <c r="T178" s="935">
        <v>0</v>
      </c>
      <c r="U178" s="935">
        <f t="shared" si="21"/>
        <v>0</v>
      </c>
    </row>
    <row r="179" spans="1:21" hidden="1" x14ac:dyDescent="0.2">
      <c r="A179" s="667" t="s">
        <v>10</v>
      </c>
      <c r="B179" s="668" t="s">
        <v>138</v>
      </c>
      <c r="C179" s="935">
        <v>0</v>
      </c>
      <c r="D179" s="935">
        <v>0</v>
      </c>
      <c r="E179" s="935">
        <v>0</v>
      </c>
      <c r="F179" s="935">
        <v>0</v>
      </c>
      <c r="G179" s="935">
        <v>0</v>
      </c>
      <c r="H179" s="935">
        <v>0</v>
      </c>
      <c r="I179" s="935">
        <v>0</v>
      </c>
      <c r="J179" s="935">
        <v>0</v>
      </c>
      <c r="K179" s="935">
        <v>0</v>
      </c>
      <c r="L179" s="935">
        <v>0</v>
      </c>
      <c r="M179" s="935">
        <v>0</v>
      </c>
      <c r="N179" s="935">
        <v>0</v>
      </c>
      <c r="O179" s="935">
        <v>0</v>
      </c>
      <c r="P179" s="935">
        <v>0</v>
      </c>
      <c r="Q179" s="935">
        <v>0</v>
      </c>
      <c r="R179" s="935">
        <v>0</v>
      </c>
      <c r="S179" s="935">
        <v>0</v>
      </c>
      <c r="T179" s="935">
        <v>0</v>
      </c>
      <c r="U179" s="935">
        <f t="shared" si="21"/>
        <v>0</v>
      </c>
    </row>
    <row r="180" spans="1:21" hidden="1" x14ac:dyDescent="0.2">
      <c r="A180" s="667" t="s">
        <v>10</v>
      </c>
      <c r="B180" s="668" t="s">
        <v>136</v>
      </c>
      <c r="C180" s="935">
        <v>0</v>
      </c>
      <c r="D180" s="935">
        <v>0</v>
      </c>
      <c r="E180" s="935">
        <v>0</v>
      </c>
      <c r="F180" s="935">
        <v>0</v>
      </c>
      <c r="G180" s="935">
        <v>0</v>
      </c>
      <c r="H180" s="935">
        <v>0</v>
      </c>
      <c r="I180" s="935">
        <v>0</v>
      </c>
      <c r="J180" s="935">
        <v>0</v>
      </c>
      <c r="K180" s="935">
        <v>0</v>
      </c>
      <c r="L180" s="935">
        <v>0</v>
      </c>
      <c r="M180" s="935">
        <v>0</v>
      </c>
      <c r="N180" s="935">
        <v>0</v>
      </c>
      <c r="O180" s="935">
        <v>0</v>
      </c>
      <c r="P180" s="935">
        <v>0</v>
      </c>
      <c r="Q180" s="935">
        <v>0</v>
      </c>
      <c r="R180" s="935">
        <v>0</v>
      </c>
      <c r="S180" s="935">
        <v>0</v>
      </c>
      <c r="T180" s="935">
        <v>0</v>
      </c>
      <c r="U180" s="935">
        <f t="shared" si="21"/>
        <v>0</v>
      </c>
    </row>
    <row r="181" spans="1:21" hidden="1" x14ac:dyDescent="0.2">
      <c r="B181" s="668" t="s">
        <v>223</v>
      </c>
      <c r="C181" s="935">
        <v>0</v>
      </c>
      <c r="D181" s="935">
        <v>0</v>
      </c>
      <c r="E181" s="935">
        <v>0</v>
      </c>
      <c r="F181" s="935">
        <v>0</v>
      </c>
      <c r="G181" s="935">
        <v>0</v>
      </c>
      <c r="H181" s="935">
        <v>0</v>
      </c>
      <c r="I181" s="935">
        <v>0</v>
      </c>
      <c r="J181" s="935">
        <v>0</v>
      </c>
      <c r="K181" s="935">
        <v>0</v>
      </c>
      <c r="L181" s="935">
        <v>0</v>
      </c>
      <c r="M181" s="935">
        <v>0</v>
      </c>
      <c r="N181" s="935">
        <v>0</v>
      </c>
      <c r="O181" s="935">
        <v>0</v>
      </c>
      <c r="P181" s="935">
        <v>0</v>
      </c>
      <c r="Q181" s="935">
        <v>0</v>
      </c>
      <c r="R181" s="935">
        <v>0</v>
      </c>
      <c r="S181" s="935">
        <v>0</v>
      </c>
      <c r="T181" s="935">
        <v>0</v>
      </c>
      <c r="U181" s="935">
        <f t="shared" si="21"/>
        <v>0</v>
      </c>
    </row>
    <row r="182" spans="1:21" hidden="1" x14ac:dyDescent="0.2">
      <c r="B182" s="668" t="s">
        <v>224</v>
      </c>
      <c r="C182" s="935">
        <v>0</v>
      </c>
      <c r="D182" s="935">
        <v>0</v>
      </c>
      <c r="E182" s="935">
        <v>0</v>
      </c>
      <c r="F182" s="935">
        <v>0</v>
      </c>
      <c r="G182" s="935">
        <v>0</v>
      </c>
      <c r="H182" s="935">
        <v>0</v>
      </c>
      <c r="I182" s="935">
        <v>0</v>
      </c>
      <c r="J182" s="935">
        <v>0</v>
      </c>
      <c r="K182" s="935">
        <v>0</v>
      </c>
      <c r="L182" s="935">
        <v>0</v>
      </c>
      <c r="M182" s="935">
        <v>0</v>
      </c>
      <c r="N182" s="935">
        <v>0</v>
      </c>
      <c r="O182" s="935">
        <v>0</v>
      </c>
      <c r="P182" s="935">
        <v>0</v>
      </c>
      <c r="Q182" s="935">
        <v>0</v>
      </c>
      <c r="R182" s="935">
        <v>0</v>
      </c>
      <c r="S182" s="935">
        <v>0</v>
      </c>
      <c r="T182" s="935">
        <v>0</v>
      </c>
      <c r="U182" s="935">
        <f t="shared" si="21"/>
        <v>0</v>
      </c>
    </row>
    <row r="183" spans="1:21" hidden="1" x14ac:dyDescent="0.2">
      <c r="B183" s="668" t="s">
        <v>225</v>
      </c>
      <c r="C183" s="935">
        <v>0</v>
      </c>
      <c r="D183" s="935">
        <v>0</v>
      </c>
      <c r="E183" s="935">
        <v>0</v>
      </c>
      <c r="F183" s="935">
        <v>0</v>
      </c>
      <c r="G183" s="935">
        <v>0</v>
      </c>
      <c r="H183" s="935">
        <v>0</v>
      </c>
      <c r="I183" s="935">
        <v>0</v>
      </c>
      <c r="J183" s="935">
        <v>0</v>
      </c>
      <c r="K183" s="935">
        <v>0</v>
      </c>
      <c r="L183" s="935">
        <v>0</v>
      </c>
      <c r="M183" s="935">
        <v>0</v>
      </c>
      <c r="N183" s="935">
        <v>0</v>
      </c>
      <c r="O183" s="935">
        <v>0</v>
      </c>
      <c r="P183" s="935">
        <v>0</v>
      </c>
      <c r="Q183" s="935">
        <v>0</v>
      </c>
      <c r="R183" s="935">
        <v>0</v>
      </c>
      <c r="S183" s="935">
        <v>0</v>
      </c>
      <c r="T183" s="935">
        <v>0</v>
      </c>
      <c r="U183" s="935">
        <f t="shared" si="21"/>
        <v>0</v>
      </c>
    </row>
    <row r="184" spans="1:21" hidden="1" x14ac:dyDescent="0.2">
      <c r="B184" s="668" t="s">
        <v>226</v>
      </c>
      <c r="C184" s="935">
        <v>0</v>
      </c>
      <c r="D184" s="935">
        <v>0</v>
      </c>
      <c r="E184" s="935">
        <v>0</v>
      </c>
      <c r="F184" s="935">
        <v>0</v>
      </c>
      <c r="G184" s="935">
        <v>0</v>
      </c>
      <c r="H184" s="935">
        <v>0</v>
      </c>
      <c r="I184" s="935">
        <v>0</v>
      </c>
      <c r="J184" s="935">
        <v>0</v>
      </c>
      <c r="K184" s="935">
        <v>0</v>
      </c>
      <c r="L184" s="935">
        <v>0</v>
      </c>
      <c r="M184" s="935">
        <v>0</v>
      </c>
      <c r="N184" s="935">
        <v>0</v>
      </c>
      <c r="O184" s="935">
        <v>0</v>
      </c>
      <c r="P184" s="935">
        <v>0</v>
      </c>
      <c r="Q184" s="935">
        <v>0</v>
      </c>
      <c r="R184" s="935">
        <v>0</v>
      </c>
      <c r="S184" s="935">
        <v>0</v>
      </c>
      <c r="T184" s="935">
        <v>0</v>
      </c>
      <c r="U184" s="935">
        <f t="shared" si="21"/>
        <v>0</v>
      </c>
    </row>
    <row r="185" spans="1:21" hidden="1" x14ac:dyDescent="0.2">
      <c r="B185" s="668" t="s">
        <v>227</v>
      </c>
      <c r="C185" s="935">
        <v>0</v>
      </c>
      <c r="D185" s="935">
        <v>0</v>
      </c>
      <c r="E185" s="935">
        <v>0</v>
      </c>
      <c r="F185" s="935">
        <v>0</v>
      </c>
      <c r="G185" s="935">
        <v>0</v>
      </c>
      <c r="H185" s="935">
        <v>0</v>
      </c>
      <c r="I185" s="935">
        <v>0</v>
      </c>
      <c r="J185" s="935">
        <v>0</v>
      </c>
      <c r="K185" s="935">
        <v>0</v>
      </c>
      <c r="L185" s="935">
        <v>0</v>
      </c>
      <c r="M185" s="935">
        <v>0</v>
      </c>
      <c r="N185" s="935">
        <v>0</v>
      </c>
      <c r="O185" s="935">
        <v>0</v>
      </c>
      <c r="P185" s="935">
        <v>0</v>
      </c>
      <c r="Q185" s="935">
        <v>0</v>
      </c>
      <c r="R185" s="935">
        <v>0</v>
      </c>
      <c r="S185" s="935">
        <v>0</v>
      </c>
      <c r="T185" s="935">
        <v>0</v>
      </c>
      <c r="U185" s="935">
        <f t="shared" si="21"/>
        <v>0</v>
      </c>
    </row>
    <row r="186" spans="1:21" hidden="1" x14ac:dyDescent="0.2">
      <c r="B186" s="668" t="s">
        <v>228</v>
      </c>
      <c r="C186" s="935">
        <v>0</v>
      </c>
      <c r="D186" s="935">
        <v>0</v>
      </c>
      <c r="E186" s="935">
        <v>0</v>
      </c>
      <c r="F186" s="935">
        <v>0</v>
      </c>
      <c r="G186" s="935">
        <v>0</v>
      </c>
      <c r="H186" s="935">
        <v>0</v>
      </c>
      <c r="I186" s="935">
        <v>0</v>
      </c>
      <c r="J186" s="935">
        <v>0</v>
      </c>
      <c r="K186" s="935">
        <v>0</v>
      </c>
      <c r="L186" s="935">
        <v>0</v>
      </c>
      <c r="M186" s="935">
        <v>0</v>
      </c>
      <c r="N186" s="935">
        <v>0</v>
      </c>
      <c r="O186" s="935">
        <v>0</v>
      </c>
      <c r="P186" s="935">
        <v>0</v>
      </c>
      <c r="Q186" s="935">
        <v>0</v>
      </c>
      <c r="R186" s="935">
        <v>0</v>
      </c>
      <c r="S186" s="935">
        <v>0</v>
      </c>
      <c r="T186" s="935">
        <v>0</v>
      </c>
      <c r="U186" s="935">
        <f t="shared" si="21"/>
        <v>0</v>
      </c>
    </row>
    <row r="187" spans="1:21" hidden="1" x14ac:dyDescent="0.2">
      <c r="B187" s="668" t="s">
        <v>229</v>
      </c>
      <c r="C187" s="935">
        <v>0</v>
      </c>
      <c r="D187" s="935">
        <v>0</v>
      </c>
      <c r="E187" s="935">
        <v>0</v>
      </c>
      <c r="F187" s="935">
        <v>0</v>
      </c>
      <c r="G187" s="935">
        <v>0</v>
      </c>
      <c r="H187" s="935">
        <v>0</v>
      </c>
      <c r="I187" s="935">
        <v>0</v>
      </c>
      <c r="J187" s="935">
        <v>0</v>
      </c>
      <c r="K187" s="935">
        <v>0</v>
      </c>
      <c r="L187" s="935">
        <v>0</v>
      </c>
      <c r="M187" s="935">
        <v>0</v>
      </c>
      <c r="N187" s="935">
        <v>0</v>
      </c>
      <c r="O187" s="935">
        <v>0</v>
      </c>
      <c r="P187" s="935">
        <v>0</v>
      </c>
      <c r="Q187" s="935">
        <v>0</v>
      </c>
      <c r="R187" s="935">
        <v>0</v>
      </c>
      <c r="S187" s="935">
        <v>0</v>
      </c>
      <c r="T187" s="935">
        <v>0</v>
      </c>
      <c r="U187" s="935">
        <f t="shared" si="21"/>
        <v>0</v>
      </c>
    </row>
    <row r="188" spans="1:21" hidden="1" x14ac:dyDescent="0.2">
      <c r="B188" s="668" t="s">
        <v>230</v>
      </c>
      <c r="C188" s="935">
        <v>0</v>
      </c>
      <c r="D188" s="935">
        <v>0</v>
      </c>
      <c r="E188" s="935">
        <v>0</v>
      </c>
      <c r="F188" s="935">
        <v>0</v>
      </c>
      <c r="G188" s="935">
        <v>0</v>
      </c>
      <c r="H188" s="935">
        <v>0</v>
      </c>
      <c r="I188" s="935">
        <v>0</v>
      </c>
      <c r="J188" s="935">
        <v>0</v>
      </c>
      <c r="K188" s="935">
        <v>0</v>
      </c>
      <c r="L188" s="935">
        <v>0</v>
      </c>
      <c r="M188" s="935">
        <v>0</v>
      </c>
      <c r="N188" s="935">
        <v>0</v>
      </c>
      <c r="O188" s="935">
        <v>0</v>
      </c>
      <c r="P188" s="935">
        <v>0</v>
      </c>
      <c r="Q188" s="935">
        <v>0</v>
      </c>
      <c r="R188" s="935">
        <v>0</v>
      </c>
      <c r="S188" s="935">
        <v>0</v>
      </c>
      <c r="T188" s="935">
        <v>0</v>
      </c>
      <c r="U188" s="935">
        <f t="shared" si="21"/>
        <v>0</v>
      </c>
    </row>
    <row r="189" spans="1:21" hidden="1" x14ac:dyDescent="0.2">
      <c r="B189" s="668" t="s">
        <v>231</v>
      </c>
      <c r="C189" s="935">
        <v>0</v>
      </c>
      <c r="D189" s="935">
        <v>0</v>
      </c>
      <c r="E189" s="935">
        <v>0</v>
      </c>
      <c r="F189" s="935">
        <v>0</v>
      </c>
      <c r="G189" s="935">
        <v>0</v>
      </c>
      <c r="H189" s="935">
        <v>0</v>
      </c>
      <c r="I189" s="935">
        <v>0</v>
      </c>
      <c r="J189" s="935">
        <v>0</v>
      </c>
      <c r="K189" s="935">
        <v>0</v>
      </c>
      <c r="L189" s="935">
        <v>0</v>
      </c>
      <c r="M189" s="935">
        <v>0</v>
      </c>
      <c r="N189" s="935">
        <v>0</v>
      </c>
      <c r="O189" s="935">
        <v>0</v>
      </c>
      <c r="P189" s="935">
        <v>0</v>
      </c>
      <c r="Q189" s="935">
        <v>0</v>
      </c>
      <c r="R189" s="935">
        <v>0</v>
      </c>
      <c r="S189" s="935">
        <v>0</v>
      </c>
      <c r="T189" s="935">
        <v>0</v>
      </c>
      <c r="U189" s="935">
        <f t="shared" si="21"/>
        <v>0</v>
      </c>
    </row>
    <row r="190" spans="1:21" hidden="1" x14ac:dyDescent="0.2">
      <c r="B190" s="668" t="s">
        <v>232</v>
      </c>
      <c r="C190" s="935">
        <v>0</v>
      </c>
      <c r="D190" s="935">
        <v>0</v>
      </c>
      <c r="E190" s="935">
        <v>0</v>
      </c>
      <c r="F190" s="935">
        <v>0</v>
      </c>
      <c r="G190" s="935">
        <v>0</v>
      </c>
      <c r="H190" s="935">
        <v>0</v>
      </c>
      <c r="I190" s="935">
        <v>0</v>
      </c>
      <c r="J190" s="935">
        <v>0</v>
      </c>
      <c r="K190" s="935">
        <v>0</v>
      </c>
      <c r="L190" s="935">
        <v>0</v>
      </c>
      <c r="M190" s="935">
        <v>0</v>
      </c>
      <c r="N190" s="935">
        <v>0</v>
      </c>
      <c r="O190" s="935">
        <v>0</v>
      </c>
      <c r="P190" s="935">
        <v>0</v>
      </c>
      <c r="Q190" s="935">
        <v>0</v>
      </c>
      <c r="R190" s="935">
        <v>0</v>
      </c>
      <c r="S190" s="935">
        <v>0</v>
      </c>
      <c r="T190" s="935">
        <v>0</v>
      </c>
      <c r="U190" s="935">
        <f t="shared" si="21"/>
        <v>0</v>
      </c>
    </row>
    <row r="191" spans="1:21" hidden="1" x14ac:dyDescent="0.2">
      <c r="B191" s="668" t="s">
        <v>233</v>
      </c>
      <c r="C191" s="935">
        <v>0</v>
      </c>
      <c r="D191" s="935">
        <v>0</v>
      </c>
      <c r="E191" s="935">
        <v>0</v>
      </c>
      <c r="F191" s="935">
        <v>0</v>
      </c>
      <c r="G191" s="935">
        <v>0</v>
      </c>
      <c r="H191" s="935">
        <v>0</v>
      </c>
      <c r="I191" s="935">
        <v>0</v>
      </c>
      <c r="J191" s="935">
        <v>0</v>
      </c>
      <c r="K191" s="935">
        <v>0</v>
      </c>
      <c r="L191" s="935">
        <v>0</v>
      </c>
      <c r="M191" s="935">
        <v>0</v>
      </c>
      <c r="N191" s="935">
        <v>0</v>
      </c>
      <c r="O191" s="935">
        <v>0</v>
      </c>
      <c r="P191" s="935">
        <v>0</v>
      </c>
      <c r="Q191" s="935">
        <v>0</v>
      </c>
      <c r="R191" s="935">
        <v>0</v>
      </c>
      <c r="S191" s="935">
        <v>0</v>
      </c>
      <c r="T191" s="935">
        <v>0</v>
      </c>
      <c r="U191" s="935">
        <f t="shared" si="21"/>
        <v>0</v>
      </c>
    </row>
    <row r="192" spans="1:21" hidden="1" x14ac:dyDescent="0.2">
      <c r="B192" s="668" t="s">
        <v>234</v>
      </c>
      <c r="C192" s="935">
        <v>0</v>
      </c>
      <c r="D192" s="935">
        <v>0</v>
      </c>
      <c r="E192" s="935">
        <v>0</v>
      </c>
      <c r="F192" s="935">
        <v>0</v>
      </c>
      <c r="G192" s="935">
        <v>0</v>
      </c>
      <c r="H192" s="935">
        <v>0</v>
      </c>
      <c r="I192" s="935">
        <v>0</v>
      </c>
      <c r="J192" s="935">
        <v>0</v>
      </c>
      <c r="K192" s="935">
        <v>0</v>
      </c>
      <c r="L192" s="935">
        <v>0</v>
      </c>
      <c r="M192" s="935">
        <v>0</v>
      </c>
      <c r="N192" s="935">
        <v>0</v>
      </c>
      <c r="O192" s="935">
        <v>0</v>
      </c>
      <c r="P192" s="935">
        <v>0</v>
      </c>
      <c r="Q192" s="935">
        <v>0</v>
      </c>
      <c r="R192" s="935">
        <v>0</v>
      </c>
      <c r="S192" s="935">
        <v>0</v>
      </c>
      <c r="T192" s="935">
        <v>0</v>
      </c>
      <c r="U192" s="935">
        <f t="shared" si="21"/>
        <v>0</v>
      </c>
    </row>
    <row r="193" spans="2:21" x14ac:dyDescent="0.2">
      <c r="B193" s="668" t="s">
        <v>9</v>
      </c>
      <c r="C193" s="935">
        <v>0</v>
      </c>
      <c r="D193" s="935">
        <v>0</v>
      </c>
      <c r="E193" s="935">
        <v>0</v>
      </c>
      <c r="F193" s="935">
        <v>0</v>
      </c>
      <c r="G193" s="935">
        <v>0</v>
      </c>
      <c r="H193" s="935">
        <v>0</v>
      </c>
      <c r="I193" s="935">
        <v>0</v>
      </c>
      <c r="J193" s="935">
        <v>0</v>
      </c>
      <c r="K193" s="935">
        <v>0</v>
      </c>
      <c r="L193" s="935">
        <v>0</v>
      </c>
      <c r="M193" s="935">
        <v>0</v>
      </c>
      <c r="N193" s="935">
        <v>0</v>
      </c>
      <c r="O193" s="935">
        <v>0</v>
      </c>
      <c r="P193" s="935">
        <v>0</v>
      </c>
      <c r="Q193" s="935">
        <v>0</v>
      </c>
      <c r="R193" s="935">
        <v>0</v>
      </c>
      <c r="S193" s="935">
        <v>0</v>
      </c>
      <c r="T193" s="935">
        <v>-9100000</v>
      </c>
      <c r="U193" s="935">
        <f t="shared" si="21"/>
        <v>-9100000</v>
      </c>
    </row>
    <row r="194" spans="2:21" hidden="1" x14ac:dyDescent="0.2">
      <c r="B194" s="668" t="s">
        <v>581</v>
      </c>
      <c r="C194" s="935">
        <v>0</v>
      </c>
      <c r="D194" s="935">
        <v>0</v>
      </c>
      <c r="E194" s="935">
        <v>0</v>
      </c>
      <c r="F194" s="935">
        <v>0</v>
      </c>
      <c r="G194" s="935">
        <v>0</v>
      </c>
      <c r="H194" s="935">
        <v>0</v>
      </c>
      <c r="I194" s="935">
        <v>0</v>
      </c>
      <c r="J194" s="935">
        <v>0</v>
      </c>
      <c r="K194" s="935">
        <v>0</v>
      </c>
      <c r="L194" s="935">
        <v>0</v>
      </c>
      <c r="M194" s="935">
        <v>0</v>
      </c>
      <c r="N194" s="935">
        <v>0</v>
      </c>
      <c r="O194" s="935">
        <v>0</v>
      </c>
      <c r="P194" s="935">
        <v>0</v>
      </c>
      <c r="Q194" s="935">
        <v>0</v>
      </c>
      <c r="R194" s="935">
        <v>0</v>
      </c>
      <c r="S194" s="935">
        <v>0</v>
      </c>
      <c r="T194" s="935">
        <v>0</v>
      </c>
      <c r="U194" s="935">
        <f t="shared" si="21"/>
        <v>0</v>
      </c>
    </row>
    <row r="195" spans="2:21" hidden="1" x14ac:dyDescent="0.2">
      <c r="B195" s="668" t="s">
        <v>235</v>
      </c>
      <c r="C195" s="935">
        <v>0</v>
      </c>
      <c r="D195" s="935">
        <v>0</v>
      </c>
      <c r="E195" s="935">
        <v>0</v>
      </c>
      <c r="F195" s="935">
        <v>0</v>
      </c>
      <c r="G195" s="935">
        <v>0</v>
      </c>
      <c r="H195" s="935">
        <v>0</v>
      </c>
      <c r="I195" s="935">
        <v>0</v>
      </c>
      <c r="J195" s="935">
        <v>0</v>
      </c>
      <c r="K195" s="935">
        <v>0</v>
      </c>
      <c r="L195" s="935">
        <v>0</v>
      </c>
      <c r="M195" s="935">
        <v>0</v>
      </c>
      <c r="N195" s="935">
        <v>0</v>
      </c>
      <c r="O195" s="935">
        <v>0</v>
      </c>
      <c r="P195" s="935">
        <v>0</v>
      </c>
      <c r="Q195" s="935">
        <v>0</v>
      </c>
      <c r="R195" s="935">
        <v>0</v>
      </c>
      <c r="S195" s="935">
        <v>0</v>
      </c>
      <c r="T195" s="935">
        <v>0</v>
      </c>
      <c r="U195" s="935">
        <f t="shared" si="21"/>
        <v>0</v>
      </c>
    </row>
    <row r="196" spans="2:21" hidden="1" x14ac:dyDescent="0.2">
      <c r="B196" s="668" t="s">
        <v>236</v>
      </c>
      <c r="C196" s="935">
        <v>0</v>
      </c>
      <c r="D196" s="935">
        <v>0</v>
      </c>
      <c r="E196" s="935">
        <v>0</v>
      </c>
      <c r="F196" s="935">
        <v>0</v>
      </c>
      <c r="G196" s="935">
        <v>0</v>
      </c>
      <c r="H196" s="935">
        <v>0</v>
      </c>
      <c r="I196" s="935">
        <v>0</v>
      </c>
      <c r="J196" s="935">
        <v>0</v>
      </c>
      <c r="K196" s="935">
        <v>0</v>
      </c>
      <c r="L196" s="935">
        <v>0</v>
      </c>
      <c r="M196" s="935">
        <v>0</v>
      </c>
      <c r="N196" s="935">
        <v>0</v>
      </c>
      <c r="O196" s="935">
        <v>0</v>
      </c>
      <c r="P196" s="935">
        <v>0</v>
      </c>
      <c r="Q196" s="935">
        <v>0</v>
      </c>
      <c r="R196" s="935">
        <v>0</v>
      </c>
      <c r="S196" s="935">
        <v>0</v>
      </c>
      <c r="T196" s="935">
        <v>0</v>
      </c>
      <c r="U196" s="935">
        <f t="shared" ref="U196:U221" si="22">SUM(C196:T196)</f>
        <v>0</v>
      </c>
    </row>
    <row r="197" spans="2:21" hidden="1" x14ac:dyDescent="0.2">
      <c r="B197" s="668" t="s">
        <v>237</v>
      </c>
      <c r="C197" s="935">
        <v>0</v>
      </c>
      <c r="D197" s="935">
        <v>0</v>
      </c>
      <c r="E197" s="935">
        <v>0</v>
      </c>
      <c r="F197" s="935">
        <v>0</v>
      </c>
      <c r="G197" s="935">
        <v>0</v>
      </c>
      <c r="H197" s="935">
        <v>0</v>
      </c>
      <c r="I197" s="935">
        <v>0</v>
      </c>
      <c r="J197" s="935">
        <v>0</v>
      </c>
      <c r="K197" s="935">
        <v>0</v>
      </c>
      <c r="L197" s="935">
        <v>0</v>
      </c>
      <c r="M197" s="935">
        <v>0</v>
      </c>
      <c r="N197" s="935">
        <v>0</v>
      </c>
      <c r="O197" s="935">
        <v>0</v>
      </c>
      <c r="P197" s="935">
        <v>0</v>
      </c>
      <c r="Q197" s="935">
        <v>0</v>
      </c>
      <c r="R197" s="935">
        <v>0</v>
      </c>
      <c r="S197" s="935">
        <v>0</v>
      </c>
      <c r="T197" s="935">
        <v>0</v>
      </c>
      <c r="U197" s="935">
        <f t="shared" si="22"/>
        <v>0</v>
      </c>
    </row>
    <row r="198" spans="2:21" hidden="1" x14ac:dyDescent="0.2">
      <c r="B198" s="668" t="s">
        <v>238</v>
      </c>
      <c r="C198" s="935">
        <v>0</v>
      </c>
      <c r="D198" s="935">
        <v>0</v>
      </c>
      <c r="E198" s="935">
        <v>0</v>
      </c>
      <c r="F198" s="935">
        <v>0</v>
      </c>
      <c r="G198" s="935">
        <v>0</v>
      </c>
      <c r="H198" s="935">
        <v>0</v>
      </c>
      <c r="I198" s="935">
        <v>0</v>
      </c>
      <c r="J198" s="935">
        <v>0</v>
      </c>
      <c r="K198" s="935">
        <v>0</v>
      </c>
      <c r="L198" s="935">
        <v>0</v>
      </c>
      <c r="M198" s="935">
        <v>0</v>
      </c>
      <c r="N198" s="935">
        <v>0</v>
      </c>
      <c r="O198" s="935">
        <v>0</v>
      </c>
      <c r="P198" s="935">
        <v>0</v>
      </c>
      <c r="Q198" s="935">
        <v>0</v>
      </c>
      <c r="R198" s="935">
        <v>0</v>
      </c>
      <c r="S198" s="935">
        <v>0</v>
      </c>
      <c r="T198" s="935">
        <v>0</v>
      </c>
      <c r="U198" s="935">
        <f t="shared" si="22"/>
        <v>0</v>
      </c>
    </row>
    <row r="199" spans="2:21" hidden="1" x14ac:dyDescent="0.2">
      <c r="B199" s="668" t="s">
        <v>239</v>
      </c>
      <c r="C199" s="935">
        <v>0</v>
      </c>
      <c r="D199" s="935">
        <v>0</v>
      </c>
      <c r="E199" s="935">
        <v>0</v>
      </c>
      <c r="F199" s="935">
        <v>0</v>
      </c>
      <c r="G199" s="935">
        <v>0</v>
      </c>
      <c r="H199" s="935">
        <v>0</v>
      </c>
      <c r="I199" s="935">
        <v>0</v>
      </c>
      <c r="J199" s="935">
        <v>0</v>
      </c>
      <c r="K199" s="935">
        <v>0</v>
      </c>
      <c r="L199" s="935">
        <v>0</v>
      </c>
      <c r="M199" s="935">
        <v>0</v>
      </c>
      <c r="N199" s="935">
        <v>0</v>
      </c>
      <c r="O199" s="935">
        <v>0</v>
      </c>
      <c r="P199" s="935">
        <v>0</v>
      </c>
      <c r="Q199" s="935">
        <v>0</v>
      </c>
      <c r="R199" s="935">
        <v>0</v>
      </c>
      <c r="S199" s="935">
        <v>0</v>
      </c>
      <c r="T199" s="935">
        <v>0</v>
      </c>
      <c r="U199" s="935">
        <f t="shared" si="22"/>
        <v>0</v>
      </c>
    </row>
    <row r="200" spans="2:21" hidden="1" x14ac:dyDescent="0.2">
      <c r="B200" s="668" t="s">
        <v>240</v>
      </c>
      <c r="C200" s="935">
        <v>0</v>
      </c>
      <c r="D200" s="935">
        <v>0</v>
      </c>
      <c r="E200" s="935">
        <v>0</v>
      </c>
      <c r="F200" s="935">
        <v>0</v>
      </c>
      <c r="G200" s="935">
        <v>0</v>
      </c>
      <c r="H200" s="935">
        <v>0</v>
      </c>
      <c r="I200" s="935">
        <v>0</v>
      </c>
      <c r="J200" s="935">
        <v>0</v>
      </c>
      <c r="K200" s="935">
        <v>0</v>
      </c>
      <c r="L200" s="935">
        <v>0</v>
      </c>
      <c r="M200" s="935">
        <v>0</v>
      </c>
      <c r="N200" s="935">
        <v>0</v>
      </c>
      <c r="O200" s="935">
        <v>0</v>
      </c>
      <c r="P200" s="935">
        <v>0</v>
      </c>
      <c r="Q200" s="935">
        <v>0</v>
      </c>
      <c r="R200" s="935">
        <v>0</v>
      </c>
      <c r="S200" s="935">
        <v>0</v>
      </c>
      <c r="T200" s="935">
        <v>0</v>
      </c>
      <c r="U200" s="935">
        <f t="shared" si="22"/>
        <v>0</v>
      </c>
    </row>
    <row r="201" spans="2:21" hidden="1" x14ac:dyDescent="0.2">
      <c r="B201" s="668" t="s">
        <v>241</v>
      </c>
      <c r="C201" s="935">
        <v>0</v>
      </c>
      <c r="D201" s="935">
        <v>0</v>
      </c>
      <c r="E201" s="935">
        <v>0</v>
      </c>
      <c r="F201" s="935">
        <v>0</v>
      </c>
      <c r="G201" s="935">
        <v>0</v>
      </c>
      <c r="H201" s="935">
        <v>0</v>
      </c>
      <c r="I201" s="935">
        <v>0</v>
      </c>
      <c r="J201" s="935">
        <v>0</v>
      </c>
      <c r="K201" s="935">
        <v>0</v>
      </c>
      <c r="L201" s="935">
        <v>0</v>
      </c>
      <c r="M201" s="935">
        <v>0</v>
      </c>
      <c r="N201" s="935">
        <v>0</v>
      </c>
      <c r="O201" s="935">
        <v>0</v>
      </c>
      <c r="P201" s="935">
        <v>0</v>
      </c>
      <c r="Q201" s="935">
        <v>0</v>
      </c>
      <c r="R201" s="935">
        <v>0</v>
      </c>
      <c r="S201" s="935">
        <v>0</v>
      </c>
      <c r="T201" s="935">
        <v>0</v>
      </c>
      <c r="U201" s="935">
        <f t="shared" si="22"/>
        <v>0</v>
      </c>
    </row>
    <row r="202" spans="2:21" hidden="1" x14ac:dyDescent="0.2">
      <c r="B202" s="668" t="s">
        <v>242</v>
      </c>
      <c r="C202" s="935">
        <v>0</v>
      </c>
      <c r="D202" s="935">
        <v>0</v>
      </c>
      <c r="E202" s="935">
        <v>0</v>
      </c>
      <c r="F202" s="935">
        <v>0</v>
      </c>
      <c r="G202" s="935">
        <v>0</v>
      </c>
      <c r="H202" s="935">
        <v>0</v>
      </c>
      <c r="I202" s="935">
        <v>0</v>
      </c>
      <c r="J202" s="935">
        <v>0</v>
      </c>
      <c r="K202" s="935">
        <v>0</v>
      </c>
      <c r="L202" s="935">
        <v>0</v>
      </c>
      <c r="M202" s="935">
        <v>0</v>
      </c>
      <c r="N202" s="935">
        <v>0</v>
      </c>
      <c r="O202" s="935">
        <v>0</v>
      </c>
      <c r="P202" s="935">
        <v>0</v>
      </c>
      <c r="Q202" s="935">
        <v>0</v>
      </c>
      <c r="R202" s="935">
        <v>0</v>
      </c>
      <c r="S202" s="935">
        <v>0</v>
      </c>
      <c r="T202" s="935">
        <v>0</v>
      </c>
      <c r="U202" s="935">
        <f t="shared" si="22"/>
        <v>0</v>
      </c>
    </row>
    <row r="203" spans="2:21" hidden="1" x14ac:dyDescent="0.2">
      <c r="B203" s="668" t="s">
        <v>243</v>
      </c>
      <c r="C203" s="935">
        <v>0</v>
      </c>
      <c r="D203" s="935">
        <v>0</v>
      </c>
      <c r="E203" s="935">
        <v>0</v>
      </c>
      <c r="F203" s="935">
        <v>0</v>
      </c>
      <c r="G203" s="935">
        <v>0</v>
      </c>
      <c r="H203" s="935">
        <v>0</v>
      </c>
      <c r="I203" s="935">
        <v>0</v>
      </c>
      <c r="J203" s="935">
        <v>0</v>
      </c>
      <c r="K203" s="935">
        <v>0</v>
      </c>
      <c r="L203" s="935">
        <v>0</v>
      </c>
      <c r="M203" s="935">
        <v>0</v>
      </c>
      <c r="N203" s="935">
        <v>0</v>
      </c>
      <c r="O203" s="935">
        <v>0</v>
      </c>
      <c r="P203" s="935">
        <v>0</v>
      </c>
      <c r="Q203" s="935">
        <v>0</v>
      </c>
      <c r="R203" s="935">
        <v>0</v>
      </c>
      <c r="S203" s="935">
        <v>0</v>
      </c>
      <c r="T203" s="935">
        <v>0</v>
      </c>
      <c r="U203" s="935">
        <f t="shared" si="22"/>
        <v>0</v>
      </c>
    </row>
    <row r="204" spans="2:21" hidden="1" x14ac:dyDescent="0.2">
      <c r="B204" s="668" t="s">
        <v>244</v>
      </c>
      <c r="C204" s="935">
        <v>0</v>
      </c>
      <c r="D204" s="935">
        <v>0</v>
      </c>
      <c r="E204" s="935">
        <v>0</v>
      </c>
      <c r="F204" s="935">
        <v>0</v>
      </c>
      <c r="G204" s="935">
        <v>0</v>
      </c>
      <c r="H204" s="935">
        <v>0</v>
      </c>
      <c r="I204" s="935">
        <v>0</v>
      </c>
      <c r="J204" s="935">
        <v>0</v>
      </c>
      <c r="K204" s="935">
        <v>0</v>
      </c>
      <c r="L204" s="935">
        <v>0</v>
      </c>
      <c r="M204" s="935">
        <v>0</v>
      </c>
      <c r="N204" s="935">
        <v>0</v>
      </c>
      <c r="O204" s="935">
        <v>0</v>
      </c>
      <c r="P204" s="935">
        <v>0</v>
      </c>
      <c r="Q204" s="935">
        <v>0</v>
      </c>
      <c r="R204" s="935">
        <v>0</v>
      </c>
      <c r="S204" s="935">
        <v>0</v>
      </c>
      <c r="T204" s="935">
        <v>0</v>
      </c>
      <c r="U204" s="935">
        <f t="shared" si="22"/>
        <v>0</v>
      </c>
    </row>
    <row r="205" spans="2:21" x14ac:dyDescent="0.2">
      <c r="B205" s="667" t="s">
        <v>245</v>
      </c>
      <c r="C205" s="935"/>
      <c r="D205" s="935"/>
      <c r="E205" s="935"/>
      <c r="F205" s="935"/>
      <c r="G205" s="935"/>
      <c r="H205" s="935"/>
      <c r="I205" s="935"/>
      <c r="J205" s="935"/>
      <c r="K205" s="935"/>
      <c r="L205" s="935"/>
      <c r="M205" s="935"/>
      <c r="N205" s="935"/>
      <c r="O205" s="935"/>
      <c r="P205" s="935"/>
      <c r="Q205" s="935"/>
      <c r="R205" s="935"/>
      <c r="S205" s="935"/>
      <c r="T205" s="935"/>
      <c r="U205" s="935">
        <f t="shared" si="22"/>
        <v>0</v>
      </c>
    </row>
    <row r="206" spans="2:21" hidden="1" x14ac:dyDescent="0.2">
      <c r="B206" s="668" t="s">
        <v>246</v>
      </c>
      <c r="C206" s="935">
        <v>0</v>
      </c>
      <c r="D206" s="935">
        <v>0</v>
      </c>
      <c r="E206" s="935">
        <v>0</v>
      </c>
      <c r="F206" s="935">
        <v>0</v>
      </c>
      <c r="G206" s="935">
        <v>0</v>
      </c>
      <c r="H206" s="935">
        <v>0</v>
      </c>
      <c r="I206" s="935">
        <v>0</v>
      </c>
      <c r="J206" s="935">
        <v>0</v>
      </c>
      <c r="K206" s="935">
        <v>0</v>
      </c>
      <c r="L206" s="935">
        <v>0</v>
      </c>
      <c r="M206" s="935">
        <v>0</v>
      </c>
      <c r="N206" s="935">
        <v>0</v>
      </c>
      <c r="O206" s="935">
        <v>0</v>
      </c>
      <c r="P206" s="935">
        <v>0</v>
      </c>
      <c r="Q206" s="935">
        <v>0</v>
      </c>
      <c r="R206" s="935">
        <v>0</v>
      </c>
      <c r="S206" s="935">
        <v>0</v>
      </c>
      <c r="T206" s="935">
        <v>0</v>
      </c>
      <c r="U206" s="935">
        <f t="shared" si="22"/>
        <v>0</v>
      </c>
    </row>
    <row r="207" spans="2:21" hidden="1" x14ac:dyDescent="0.2">
      <c r="B207" s="668" t="s">
        <v>247</v>
      </c>
      <c r="C207" s="935">
        <v>0</v>
      </c>
      <c r="D207" s="935">
        <v>0</v>
      </c>
      <c r="E207" s="935">
        <v>0</v>
      </c>
      <c r="F207" s="935">
        <v>0</v>
      </c>
      <c r="G207" s="935">
        <v>0</v>
      </c>
      <c r="H207" s="935">
        <v>0</v>
      </c>
      <c r="I207" s="935">
        <v>0</v>
      </c>
      <c r="J207" s="935">
        <v>0</v>
      </c>
      <c r="K207" s="935">
        <v>0</v>
      </c>
      <c r="L207" s="935">
        <v>0</v>
      </c>
      <c r="M207" s="935">
        <v>0</v>
      </c>
      <c r="N207" s="935">
        <v>0</v>
      </c>
      <c r="O207" s="935">
        <v>0</v>
      </c>
      <c r="P207" s="935">
        <v>0</v>
      </c>
      <c r="Q207" s="935">
        <v>0</v>
      </c>
      <c r="R207" s="935">
        <v>0</v>
      </c>
      <c r="S207" s="935">
        <v>0</v>
      </c>
      <c r="T207" s="935">
        <v>0</v>
      </c>
      <c r="U207" s="935">
        <f t="shared" si="22"/>
        <v>0</v>
      </c>
    </row>
    <row r="208" spans="2:21" hidden="1" x14ac:dyDescent="0.2">
      <c r="B208" s="668" t="s">
        <v>248</v>
      </c>
      <c r="C208" s="935">
        <v>0</v>
      </c>
      <c r="D208" s="935">
        <v>0</v>
      </c>
      <c r="E208" s="935">
        <v>0</v>
      </c>
      <c r="F208" s="935">
        <v>0</v>
      </c>
      <c r="G208" s="935">
        <v>0</v>
      </c>
      <c r="H208" s="935">
        <v>0</v>
      </c>
      <c r="I208" s="935">
        <v>0</v>
      </c>
      <c r="J208" s="935">
        <v>0</v>
      </c>
      <c r="K208" s="935">
        <v>0</v>
      </c>
      <c r="L208" s="935">
        <v>0</v>
      </c>
      <c r="M208" s="935">
        <v>0</v>
      </c>
      <c r="N208" s="935">
        <v>0</v>
      </c>
      <c r="O208" s="935">
        <v>0</v>
      </c>
      <c r="P208" s="935">
        <v>0</v>
      </c>
      <c r="Q208" s="935">
        <v>0</v>
      </c>
      <c r="R208" s="935">
        <v>0</v>
      </c>
      <c r="S208" s="935">
        <v>0</v>
      </c>
      <c r="T208" s="935">
        <v>0</v>
      </c>
      <c r="U208" s="935">
        <f t="shared" si="22"/>
        <v>0</v>
      </c>
    </row>
    <row r="209" spans="2:21" hidden="1" x14ac:dyDescent="0.2">
      <c r="B209" s="668" t="s">
        <v>249</v>
      </c>
      <c r="C209" s="935">
        <v>0</v>
      </c>
      <c r="D209" s="935">
        <v>0</v>
      </c>
      <c r="E209" s="935">
        <v>0</v>
      </c>
      <c r="F209" s="935">
        <v>0</v>
      </c>
      <c r="G209" s="935">
        <v>0</v>
      </c>
      <c r="H209" s="935">
        <v>0</v>
      </c>
      <c r="I209" s="935">
        <v>0</v>
      </c>
      <c r="J209" s="935">
        <v>0</v>
      </c>
      <c r="K209" s="935">
        <v>0</v>
      </c>
      <c r="L209" s="935">
        <v>0</v>
      </c>
      <c r="M209" s="935">
        <v>0</v>
      </c>
      <c r="N209" s="935">
        <v>0</v>
      </c>
      <c r="O209" s="935">
        <v>0</v>
      </c>
      <c r="P209" s="935">
        <v>0</v>
      </c>
      <c r="Q209" s="935">
        <v>0</v>
      </c>
      <c r="R209" s="935">
        <v>0</v>
      </c>
      <c r="S209" s="935">
        <v>0</v>
      </c>
      <c r="T209" s="935">
        <v>0</v>
      </c>
      <c r="U209" s="935">
        <f t="shared" si="22"/>
        <v>0</v>
      </c>
    </row>
    <row r="210" spans="2:21" hidden="1" x14ac:dyDescent="0.2">
      <c r="B210" s="668" t="s">
        <v>250</v>
      </c>
      <c r="C210" s="935">
        <v>0</v>
      </c>
      <c r="D210" s="935">
        <v>0</v>
      </c>
      <c r="E210" s="935">
        <v>0</v>
      </c>
      <c r="F210" s="935">
        <v>0</v>
      </c>
      <c r="G210" s="935">
        <v>0</v>
      </c>
      <c r="H210" s="935">
        <v>0</v>
      </c>
      <c r="I210" s="935">
        <v>0</v>
      </c>
      <c r="J210" s="935">
        <v>0</v>
      </c>
      <c r="K210" s="935">
        <v>0</v>
      </c>
      <c r="L210" s="935">
        <v>0</v>
      </c>
      <c r="M210" s="935">
        <v>0</v>
      </c>
      <c r="N210" s="935">
        <v>0</v>
      </c>
      <c r="O210" s="935">
        <v>0</v>
      </c>
      <c r="P210" s="935">
        <v>0</v>
      </c>
      <c r="Q210" s="935">
        <v>0</v>
      </c>
      <c r="R210" s="935">
        <v>0</v>
      </c>
      <c r="S210" s="935">
        <v>0</v>
      </c>
      <c r="T210" s="935">
        <v>0</v>
      </c>
      <c r="U210" s="935">
        <f t="shared" si="22"/>
        <v>0</v>
      </c>
    </row>
    <row r="211" spans="2:21" hidden="1" x14ac:dyDescent="0.2">
      <c r="B211" s="668" t="s">
        <v>251</v>
      </c>
      <c r="C211" s="935">
        <v>0</v>
      </c>
      <c r="D211" s="935">
        <v>0</v>
      </c>
      <c r="E211" s="935">
        <v>0</v>
      </c>
      <c r="F211" s="935">
        <v>0</v>
      </c>
      <c r="G211" s="935">
        <v>0</v>
      </c>
      <c r="H211" s="935">
        <v>0</v>
      </c>
      <c r="I211" s="935">
        <v>0</v>
      </c>
      <c r="J211" s="935">
        <v>0</v>
      </c>
      <c r="K211" s="935">
        <v>0</v>
      </c>
      <c r="L211" s="935">
        <v>0</v>
      </c>
      <c r="M211" s="935">
        <v>0</v>
      </c>
      <c r="N211" s="935">
        <v>0</v>
      </c>
      <c r="O211" s="935">
        <v>0</v>
      </c>
      <c r="P211" s="935">
        <v>0</v>
      </c>
      <c r="Q211" s="935">
        <v>0</v>
      </c>
      <c r="R211" s="935">
        <v>0</v>
      </c>
      <c r="S211" s="935">
        <v>0</v>
      </c>
      <c r="T211" s="935">
        <v>0</v>
      </c>
      <c r="U211" s="935">
        <f t="shared" si="22"/>
        <v>0</v>
      </c>
    </row>
    <row r="212" spans="2:21" hidden="1" x14ac:dyDescent="0.2">
      <c r="B212" s="668" t="s">
        <v>252</v>
      </c>
      <c r="C212" s="935">
        <v>0</v>
      </c>
      <c r="D212" s="935">
        <v>0</v>
      </c>
      <c r="E212" s="935">
        <v>0</v>
      </c>
      <c r="F212" s="935">
        <v>0</v>
      </c>
      <c r="G212" s="935">
        <v>0</v>
      </c>
      <c r="H212" s="935">
        <v>0</v>
      </c>
      <c r="I212" s="935">
        <v>0</v>
      </c>
      <c r="J212" s="935">
        <v>0</v>
      </c>
      <c r="K212" s="935">
        <v>0</v>
      </c>
      <c r="L212" s="935">
        <v>0</v>
      </c>
      <c r="M212" s="935">
        <v>0</v>
      </c>
      <c r="N212" s="935">
        <v>0</v>
      </c>
      <c r="O212" s="935">
        <v>0</v>
      </c>
      <c r="P212" s="935">
        <v>0</v>
      </c>
      <c r="Q212" s="935">
        <v>0</v>
      </c>
      <c r="R212" s="935">
        <v>0</v>
      </c>
      <c r="S212" s="935">
        <v>0</v>
      </c>
      <c r="T212" s="935">
        <v>0</v>
      </c>
      <c r="U212" s="935">
        <f t="shared" si="22"/>
        <v>0</v>
      </c>
    </row>
    <row r="213" spans="2:21" hidden="1" x14ac:dyDescent="0.2">
      <c r="B213" s="668" t="s">
        <v>253</v>
      </c>
      <c r="C213" s="935">
        <v>0</v>
      </c>
      <c r="D213" s="935">
        <v>0</v>
      </c>
      <c r="E213" s="935">
        <v>0</v>
      </c>
      <c r="F213" s="935">
        <v>0</v>
      </c>
      <c r="G213" s="935">
        <v>0</v>
      </c>
      <c r="H213" s="935">
        <v>0</v>
      </c>
      <c r="I213" s="935">
        <v>0</v>
      </c>
      <c r="J213" s="935">
        <v>0</v>
      </c>
      <c r="K213" s="935">
        <v>0</v>
      </c>
      <c r="L213" s="935">
        <v>0</v>
      </c>
      <c r="M213" s="935">
        <v>0</v>
      </c>
      <c r="N213" s="935">
        <v>0</v>
      </c>
      <c r="O213" s="935">
        <v>0</v>
      </c>
      <c r="P213" s="935">
        <v>0</v>
      </c>
      <c r="Q213" s="935">
        <v>0</v>
      </c>
      <c r="R213" s="935">
        <v>0</v>
      </c>
      <c r="S213" s="935">
        <v>0</v>
      </c>
      <c r="T213" s="935">
        <v>0</v>
      </c>
      <c r="U213" s="935">
        <f t="shared" si="22"/>
        <v>0</v>
      </c>
    </row>
    <row r="214" spans="2:21" hidden="1" x14ac:dyDescent="0.2">
      <c r="B214" s="668" t="s">
        <v>254</v>
      </c>
      <c r="C214" s="935">
        <v>0</v>
      </c>
      <c r="D214" s="935">
        <v>0</v>
      </c>
      <c r="E214" s="935">
        <v>0</v>
      </c>
      <c r="F214" s="935">
        <v>0</v>
      </c>
      <c r="G214" s="935">
        <v>0</v>
      </c>
      <c r="H214" s="935">
        <v>0</v>
      </c>
      <c r="I214" s="935">
        <v>0</v>
      </c>
      <c r="J214" s="935">
        <v>0</v>
      </c>
      <c r="K214" s="935">
        <v>0</v>
      </c>
      <c r="L214" s="935">
        <v>0</v>
      </c>
      <c r="M214" s="935">
        <v>0</v>
      </c>
      <c r="N214" s="935">
        <v>0</v>
      </c>
      <c r="O214" s="935">
        <v>0</v>
      </c>
      <c r="P214" s="935">
        <v>0</v>
      </c>
      <c r="Q214" s="935">
        <v>0</v>
      </c>
      <c r="R214" s="935">
        <v>0</v>
      </c>
      <c r="S214" s="935">
        <v>0</v>
      </c>
      <c r="T214" s="935">
        <v>0</v>
      </c>
      <c r="U214" s="935">
        <f t="shared" si="22"/>
        <v>0</v>
      </c>
    </row>
    <row r="215" spans="2:21" hidden="1" x14ac:dyDescent="0.2">
      <c r="B215" s="668" t="s">
        <v>255</v>
      </c>
      <c r="C215" s="935">
        <v>0</v>
      </c>
      <c r="D215" s="935">
        <v>0</v>
      </c>
      <c r="E215" s="935">
        <v>0</v>
      </c>
      <c r="F215" s="935">
        <v>0</v>
      </c>
      <c r="G215" s="935">
        <v>0</v>
      </c>
      <c r="H215" s="935">
        <v>0</v>
      </c>
      <c r="I215" s="935">
        <v>0</v>
      </c>
      <c r="J215" s="935">
        <v>0</v>
      </c>
      <c r="K215" s="935">
        <v>0</v>
      </c>
      <c r="L215" s="935">
        <v>0</v>
      </c>
      <c r="M215" s="935">
        <v>0</v>
      </c>
      <c r="N215" s="935">
        <v>0</v>
      </c>
      <c r="O215" s="935">
        <v>0</v>
      </c>
      <c r="P215" s="935">
        <v>0</v>
      </c>
      <c r="Q215" s="935">
        <v>0</v>
      </c>
      <c r="R215" s="935">
        <v>0</v>
      </c>
      <c r="S215" s="935">
        <v>0</v>
      </c>
      <c r="T215" s="935">
        <v>0</v>
      </c>
      <c r="U215" s="935">
        <f t="shared" si="22"/>
        <v>0</v>
      </c>
    </row>
    <row r="216" spans="2:21" hidden="1" x14ac:dyDescent="0.2">
      <c r="B216" s="668" t="s">
        <v>256</v>
      </c>
      <c r="C216" s="935">
        <v>0</v>
      </c>
      <c r="D216" s="935">
        <v>0</v>
      </c>
      <c r="E216" s="935">
        <v>0</v>
      </c>
      <c r="F216" s="935">
        <v>0</v>
      </c>
      <c r="G216" s="935">
        <v>0</v>
      </c>
      <c r="H216" s="935">
        <v>0</v>
      </c>
      <c r="I216" s="935">
        <v>0</v>
      </c>
      <c r="J216" s="935">
        <v>0</v>
      </c>
      <c r="K216" s="935">
        <v>0</v>
      </c>
      <c r="L216" s="935">
        <v>0</v>
      </c>
      <c r="M216" s="935">
        <v>0</v>
      </c>
      <c r="N216" s="935">
        <v>0</v>
      </c>
      <c r="O216" s="935">
        <v>0</v>
      </c>
      <c r="P216" s="935">
        <v>0</v>
      </c>
      <c r="Q216" s="935">
        <v>0</v>
      </c>
      <c r="R216" s="935">
        <v>0</v>
      </c>
      <c r="S216" s="935">
        <v>0</v>
      </c>
      <c r="T216" s="935">
        <v>0</v>
      </c>
      <c r="U216" s="935">
        <f t="shared" si="22"/>
        <v>0</v>
      </c>
    </row>
    <row r="217" spans="2:21" hidden="1" x14ac:dyDescent="0.2">
      <c r="B217" s="668" t="s">
        <v>257</v>
      </c>
      <c r="C217" s="935">
        <v>0</v>
      </c>
      <c r="D217" s="935">
        <v>0</v>
      </c>
      <c r="E217" s="935">
        <v>0</v>
      </c>
      <c r="F217" s="935">
        <v>0</v>
      </c>
      <c r="G217" s="935">
        <v>0</v>
      </c>
      <c r="H217" s="935">
        <v>0</v>
      </c>
      <c r="I217" s="935">
        <v>0</v>
      </c>
      <c r="J217" s="935">
        <v>0</v>
      </c>
      <c r="K217" s="935">
        <v>0</v>
      </c>
      <c r="L217" s="935">
        <v>0</v>
      </c>
      <c r="M217" s="935">
        <v>0</v>
      </c>
      <c r="N217" s="935">
        <v>0</v>
      </c>
      <c r="O217" s="935">
        <v>0</v>
      </c>
      <c r="P217" s="935">
        <v>0</v>
      </c>
      <c r="Q217" s="935">
        <v>0</v>
      </c>
      <c r="R217" s="935">
        <v>0</v>
      </c>
      <c r="S217" s="935">
        <v>0</v>
      </c>
      <c r="T217" s="935">
        <v>0</v>
      </c>
      <c r="U217" s="935">
        <f t="shared" si="22"/>
        <v>0</v>
      </c>
    </row>
    <row r="218" spans="2:21" hidden="1" x14ac:dyDescent="0.2">
      <c r="B218" s="668" t="s">
        <v>258</v>
      </c>
      <c r="C218" s="935">
        <v>0</v>
      </c>
      <c r="D218" s="935">
        <v>0</v>
      </c>
      <c r="E218" s="935">
        <v>0</v>
      </c>
      <c r="F218" s="935">
        <v>0</v>
      </c>
      <c r="G218" s="935">
        <v>0</v>
      </c>
      <c r="H218" s="935">
        <v>0</v>
      </c>
      <c r="I218" s="935">
        <v>0</v>
      </c>
      <c r="J218" s="935">
        <v>0</v>
      </c>
      <c r="K218" s="935">
        <v>0</v>
      </c>
      <c r="L218" s="935">
        <v>0</v>
      </c>
      <c r="M218" s="935">
        <v>0</v>
      </c>
      <c r="N218" s="935">
        <v>0</v>
      </c>
      <c r="O218" s="935">
        <v>0</v>
      </c>
      <c r="P218" s="935">
        <v>0</v>
      </c>
      <c r="Q218" s="935">
        <v>0</v>
      </c>
      <c r="R218" s="935">
        <v>0</v>
      </c>
      <c r="S218" s="935">
        <v>0</v>
      </c>
      <c r="T218" s="935">
        <v>0</v>
      </c>
      <c r="U218" s="935">
        <f t="shared" si="22"/>
        <v>0</v>
      </c>
    </row>
    <row r="219" spans="2:21" x14ac:dyDescent="0.2">
      <c r="B219" s="668" t="s">
        <v>259</v>
      </c>
      <c r="C219" s="935">
        <v>0</v>
      </c>
      <c r="D219" s="935">
        <v>0</v>
      </c>
      <c r="E219" s="935">
        <v>0</v>
      </c>
      <c r="F219" s="935">
        <v>0</v>
      </c>
      <c r="G219" s="935">
        <v>0</v>
      </c>
      <c r="H219" s="935">
        <v>0</v>
      </c>
      <c r="I219" s="935">
        <v>0</v>
      </c>
      <c r="J219" s="935">
        <v>0</v>
      </c>
      <c r="K219" s="935">
        <v>0</v>
      </c>
      <c r="L219" s="935">
        <v>0</v>
      </c>
      <c r="M219" s="935">
        <v>0</v>
      </c>
      <c r="N219" s="935">
        <v>0</v>
      </c>
      <c r="O219" s="935">
        <v>0</v>
      </c>
      <c r="P219" s="935">
        <v>0</v>
      </c>
      <c r="Q219" s="935">
        <v>0</v>
      </c>
      <c r="R219" s="935">
        <v>20000</v>
      </c>
      <c r="S219" s="935">
        <v>0</v>
      </c>
      <c r="T219" s="935">
        <v>0</v>
      </c>
      <c r="U219" s="935">
        <f t="shared" si="22"/>
        <v>20000</v>
      </c>
    </row>
    <row r="220" spans="2:21" x14ac:dyDescent="0.2">
      <c r="B220" s="668" t="s">
        <v>260</v>
      </c>
      <c r="C220" s="935">
        <v>0</v>
      </c>
      <c r="D220" s="935">
        <v>0</v>
      </c>
      <c r="E220" s="935">
        <v>0</v>
      </c>
      <c r="F220" s="935">
        <v>0</v>
      </c>
      <c r="G220" s="935">
        <v>0</v>
      </c>
      <c r="H220" s="935">
        <v>0</v>
      </c>
      <c r="I220" s="935">
        <v>0</v>
      </c>
      <c r="J220" s="935">
        <v>0</v>
      </c>
      <c r="K220" s="935">
        <v>0</v>
      </c>
      <c r="L220" s="935">
        <v>0</v>
      </c>
      <c r="M220" s="935">
        <v>0</v>
      </c>
      <c r="N220" s="935">
        <v>0</v>
      </c>
      <c r="O220" s="935">
        <v>0</v>
      </c>
      <c r="P220" s="935">
        <v>0</v>
      </c>
      <c r="Q220" s="935">
        <v>765000</v>
      </c>
      <c r="R220" s="935">
        <v>0</v>
      </c>
      <c r="S220" s="935">
        <v>0</v>
      </c>
      <c r="T220" s="935">
        <v>0</v>
      </c>
      <c r="U220" s="935">
        <f t="shared" si="22"/>
        <v>765000</v>
      </c>
    </row>
    <row r="221" spans="2:21" x14ac:dyDescent="0.2">
      <c r="C221" s="935"/>
      <c r="D221" s="935"/>
      <c r="E221" s="935"/>
      <c r="F221" s="935"/>
      <c r="G221" s="935"/>
      <c r="H221" s="935"/>
      <c r="I221" s="935"/>
      <c r="J221" s="935"/>
      <c r="K221" s="935"/>
      <c r="L221" s="935"/>
      <c r="M221" s="935"/>
      <c r="N221" s="935"/>
      <c r="O221" s="935"/>
      <c r="P221" s="935"/>
      <c r="Q221" s="935"/>
      <c r="R221" s="935"/>
      <c r="S221" s="935"/>
      <c r="T221" s="935"/>
      <c r="U221" s="935">
        <f t="shared" si="22"/>
        <v>0</v>
      </c>
    </row>
  </sheetData>
  <pageMargins left="0.7" right="0.7" top="0.75" bottom="0.75" header="0.3" footer="0.3"/>
  <pageSetup scale="43" fitToWidth="2" orientation="landscape" r:id="rId1"/>
  <colBreaks count="1" manualBreakCount="1">
    <brk id="11" max="220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C96E9-E900-4073-B922-025E605C040F}">
  <sheetPr>
    <tabColor rgb="FFFF0000"/>
  </sheetPr>
  <dimension ref="A1:I85"/>
  <sheetViews>
    <sheetView showGridLines="0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708" customWidth="1"/>
    <col min="2" max="2" width="12" style="708" customWidth="1"/>
    <col min="3" max="3" width="52.42578125" style="706" bestFit="1" customWidth="1"/>
    <col min="4" max="4" width="19.28515625" style="706" customWidth="1"/>
    <col min="5" max="5" width="17.28515625" style="706" customWidth="1"/>
    <col min="6" max="6" width="15.85546875" style="706" customWidth="1"/>
    <col min="7" max="8" width="18" style="706" customWidth="1"/>
    <col min="9" max="9" width="9.28515625" style="706" bestFit="1" customWidth="1"/>
    <col min="10" max="16384" width="9.140625" style="706"/>
  </cols>
  <sheetData>
    <row r="1" spans="1:9" ht="15" x14ac:dyDescent="0.25">
      <c r="A1" s="700" t="s">
        <v>309</v>
      </c>
      <c r="B1" s="701"/>
      <c r="C1" s="702" t="s">
        <v>840</v>
      </c>
      <c r="D1" s="703">
        <v>-1</v>
      </c>
      <c r="E1" s="704">
        <v>-2</v>
      </c>
      <c r="F1" s="705">
        <v>-3</v>
      </c>
      <c r="G1" s="704">
        <v>-4</v>
      </c>
      <c r="H1" s="703"/>
    </row>
    <row r="2" spans="1:9" ht="15" x14ac:dyDescent="0.25">
      <c r="A2" s="707" t="s">
        <v>311</v>
      </c>
      <c r="C2" s="709" t="s">
        <v>841</v>
      </c>
      <c r="D2" s="710"/>
      <c r="E2" s="711" t="s">
        <v>313</v>
      </c>
      <c r="F2" s="712" t="s">
        <v>314</v>
      </c>
      <c r="G2" s="713"/>
      <c r="H2" s="714" t="s">
        <v>315</v>
      </c>
    </row>
    <row r="3" spans="1:9" s="722" customFormat="1" ht="15" x14ac:dyDescent="0.2">
      <c r="A3" s="715"/>
      <c r="B3" s="716"/>
      <c r="C3" s="717"/>
      <c r="D3" s="718" t="s">
        <v>316</v>
      </c>
      <c r="E3" s="718" t="s">
        <v>317</v>
      </c>
      <c r="F3" s="719" t="s">
        <v>0</v>
      </c>
      <c r="G3" s="720"/>
      <c r="H3" s="721" t="s">
        <v>318</v>
      </c>
    </row>
    <row r="4" spans="1:9" s="723" customFormat="1" ht="15" x14ac:dyDescent="0.2">
      <c r="A4" s="715"/>
      <c r="B4" s="716"/>
      <c r="C4" s="717" t="s">
        <v>319</v>
      </c>
      <c r="D4" s="718" t="s">
        <v>320</v>
      </c>
      <c r="E4" s="718" t="s">
        <v>320</v>
      </c>
      <c r="F4" s="721" t="s">
        <v>321</v>
      </c>
      <c r="G4" s="718" t="s">
        <v>322</v>
      </c>
      <c r="H4" s="721" t="s">
        <v>323</v>
      </c>
      <c r="I4" s="722"/>
    </row>
    <row r="5" spans="1:9" s="723" customFormat="1" ht="15" x14ac:dyDescent="0.25">
      <c r="A5" s="724"/>
      <c r="B5" s="725"/>
      <c r="C5" s="726" t="s">
        <v>315</v>
      </c>
      <c r="D5" s="727">
        <v>43281</v>
      </c>
      <c r="E5" s="727">
        <v>43646</v>
      </c>
      <c r="F5" s="728" t="s">
        <v>324</v>
      </c>
      <c r="G5" s="729" t="s">
        <v>324</v>
      </c>
      <c r="H5" s="728" t="s">
        <v>0</v>
      </c>
      <c r="I5" s="730" t="s">
        <v>441</v>
      </c>
    </row>
    <row r="6" spans="1:9" ht="15" x14ac:dyDescent="0.25">
      <c r="A6" s="731" t="s">
        <v>326</v>
      </c>
      <c r="B6" s="732"/>
      <c r="C6" s="733" t="s">
        <v>327</v>
      </c>
      <c r="D6" s="113"/>
      <c r="E6" s="113"/>
      <c r="F6" s="131"/>
      <c r="G6" s="114"/>
      <c r="H6" s="115">
        <v>0</v>
      </c>
      <c r="I6" s="734"/>
    </row>
    <row r="7" spans="1:9" x14ac:dyDescent="0.2">
      <c r="A7" s="735" t="s">
        <v>328</v>
      </c>
      <c r="B7" s="736"/>
      <c r="C7" s="737" t="s">
        <v>329</v>
      </c>
      <c r="D7" s="113">
        <v>0</v>
      </c>
      <c r="E7" s="113">
        <v>0</v>
      </c>
      <c r="F7" s="131">
        <v>0</v>
      </c>
      <c r="G7" s="114">
        <v>0</v>
      </c>
      <c r="H7" s="115">
        <v>0</v>
      </c>
      <c r="I7" s="734"/>
    </row>
    <row r="8" spans="1:9" x14ac:dyDescent="0.2">
      <c r="A8" s="738"/>
      <c r="B8" s="736" t="s">
        <v>330</v>
      </c>
      <c r="C8" s="737" t="s">
        <v>274</v>
      </c>
      <c r="D8" s="113">
        <v>0</v>
      </c>
      <c r="E8" s="113">
        <v>0</v>
      </c>
      <c r="F8" s="113">
        <v>0</v>
      </c>
      <c r="G8" s="114">
        <v>0</v>
      </c>
      <c r="H8" s="115">
        <v>0</v>
      </c>
      <c r="I8" s="734"/>
    </row>
    <row r="9" spans="1:9" x14ac:dyDescent="0.2">
      <c r="A9" s="738"/>
      <c r="B9" s="736" t="s">
        <v>331</v>
      </c>
      <c r="C9" s="737" t="s">
        <v>332</v>
      </c>
      <c r="D9" s="113">
        <v>0</v>
      </c>
      <c r="E9" s="113">
        <v>0</v>
      </c>
      <c r="F9" s="113">
        <v>0</v>
      </c>
      <c r="G9" s="114">
        <v>0</v>
      </c>
      <c r="H9" s="115">
        <v>0</v>
      </c>
      <c r="I9" s="734"/>
    </row>
    <row r="10" spans="1:9" x14ac:dyDescent="0.2">
      <c r="A10" s="738"/>
      <c r="B10" s="736" t="s">
        <v>333</v>
      </c>
      <c r="C10" s="737" t="s">
        <v>334</v>
      </c>
      <c r="D10" s="113">
        <v>0</v>
      </c>
      <c r="E10" s="113">
        <v>0</v>
      </c>
      <c r="F10" s="113">
        <v>0</v>
      </c>
      <c r="G10" s="114">
        <v>0</v>
      </c>
      <c r="H10" s="115">
        <v>0</v>
      </c>
      <c r="I10" s="734"/>
    </row>
    <row r="11" spans="1:9" x14ac:dyDescent="0.2">
      <c r="A11" s="738"/>
      <c r="B11" s="736" t="s">
        <v>335</v>
      </c>
      <c r="C11" s="737" t="s">
        <v>276</v>
      </c>
      <c r="D11" s="113">
        <v>0</v>
      </c>
      <c r="E11" s="113">
        <v>0</v>
      </c>
      <c r="F11" s="113">
        <v>0</v>
      </c>
      <c r="G11" s="114">
        <v>0</v>
      </c>
      <c r="H11" s="115">
        <v>0</v>
      </c>
      <c r="I11" s="734"/>
    </row>
    <row r="12" spans="1:9" x14ac:dyDescent="0.2">
      <c r="A12" s="738"/>
      <c r="B12" s="736" t="s">
        <v>336</v>
      </c>
      <c r="C12" s="737" t="s">
        <v>227</v>
      </c>
      <c r="D12" s="113">
        <v>0</v>
      </c>
      <c r="E12" s="113">
        <v>0</v>
      </c>
      <c r="F12" s="131">
        <v>0</v>
      </c>
      <c r="G12" s="114">
        <v>0</v>
      </c>
      <c r="H12" s="115">
        <v>0</v>
      </c>
      <c r="I12" s="734"/>
    </row>
    <row r="13" spans="1:9" x14ac:dyDescent="0.2">
      <c r="A13" s="738" t="s">
        <v>337</v>
      </c>
      <c r="B13" s="736"/>
      <c r="C13" s="737" t="s">
        <v>338</v>
      </c>
      <c r="D13" s="113">
        <v>0</v>
      </c>
      <c r="E13" s="113">
        <v>0</v>
      </c>
      <c r="F13" s="131">
        <v>0</v>
      </c>
      <c r="G13" s="114">
        <v>0</v>
      </c>
      <c r="H13" s="115">
        <v>0</v>
      </c>
      <c r="I13" s="734"/>
    </row>
    <row r="14" spans="1:9" x14ac:dyDescent="0.2">
      <c r="A14" s="738"/>
      <c r="B14" s="736" t="s">
        <v>339</v>
      </c>
      <c r="C14" s="737" t="s">
        <v>277</v>
      </c>
      <c r="D14" s="113">
        <v>0</v>
      </c>
      <c r="E14" s="113">
        <v>0</v>
      </c>
      <c r="F14" s="113">
        <v>0</v>
      </c>
      <c r="G14" s="114">
        <v>0</v>
      </c>
      <c r="H14" s="115">
        <v>0</v>
      </c>
      <c r="I14" s="734"/>
    </row>
    <row r="15" spans="1:9" x14ac:dyDescent="0.2">
      <c r="A15" s="738"/>
      <c r="B15" s="736" t="s">
        <v>340</v>
      </c>
      <c r="C15" s="737" t="s">
        <v>278</v>
      </c>
      <c r="D15" s="113">
        <v>0</v>
      </c>
      <c r="E15" s="113">
        <v>0</v>
      </c>
      <c r="F15" s="113">
        <v>0</v>
      </c>
      <c r="G15" s="114">
        <v>0</v>
      </c>
      <c r="H15" s="115">
        <v>0</v>
      </c>
      <c r="I15" s="734"/>
    </row>
    <row r="16" spans="1:9" x14ac:dyDescent="0.2">
      <c r="A16" s="738"/>
      <c r="B16" s="736" t="s">
        <v>341</v>
      </c>
      <c r="C16" s="737" t="s">
        <v>342</v>
      </c>
      <c r="D16" s="113">
        <v>0</v>
      </c>
      <c r="E16" s="113">
        <v>0</v>
      </c>
      <c r="F16" s="131">
        <v>0</v>
      </c>
      <c r="G16" s="114">
        <v>0</v>
      </c>
      <c r="H16" s="115">
        <v>0</v>
      </c>
      <c r="I16" s="734"/>
    </row>
    <row r="17" spans="1:9" x14ac:dyDescent="0.2">
      <c r="A17" s="738" t="s">
        <v>343</v>
      </c>
      <c r="B17" s="736"/>
      <c r="C17" s="737" t="s">
        <v>344</v>
      </c>
      <c r="D17" s="113">
        <v>0</v>
      </c>
      <c r="E17" s="113">
        <v>0</v>
      </c>
      <c r="F17" s="131">
        <v>0</v>
      </c>
      <c r="G17" s="114">
        <v>0</v>
      </c>
      <c r="H17" s="115">
        <v>0</v>
      </c>
      <c r="I17" s="734"/>
    </row>
    <row r="18" spans="1:9" x14ac:dyDescent="0.2">
      <c r="A18" s="738" t="s">
        <v>345</v>
      </c>
      <c r="B18" s="736"/>
      <c r="C18" s="737" t="s">
        <v>282</v>
      </c>
      <c r="D18" s="113">
        <v>0</v>
      </c>
      <c r="E18" s="113">
        <v>0</v>
      </c>
      <c r="F18" s="131">
        <v>0</v>
      </c>
      <c r="G18" s="114">
        <v>0</v>
      </c>
      <c r="H18" s="115">
        <v>0</v>
      </c>
      <c r="I18" s="734"/>
    </row>
    <row r="19" spans="1:9" x14ac:dyDescent="0.2">
      <c r="A19" s="738" t="s">
        <v>346</v>
      </c>
      <c r="B19" s="736"/>
      <c r="C19" s="737" t="s">
        <v>283</v>
      </c>
      <c r="D19" s="113">
        <v>0</v>
      </c>
      <c r="E19" s="113">
        <v>0</v>
      </c>
      <c r="F19" s="131">
        <v>0</v>
      </c>
      <c r="G19" s="114">
        <v>0</v>
      </c>
      <c r="H19" s="115">
        <v>0</v>
      </c>
      <c r="I19" s="734"/>
    </row>
    <row r="20" spans="1:9" x14ac:dyDescent="0.2">
      <c r="A20" s="738" t="s">
        <v>347</v>
      </c>
      <c r="B20" s="736"/>
      <c r="C20" s="737" t="s">
        <v>284</v>
      </c>
      <c r="D20" s="113">
        <v>0</v>
      </c>
      <c r="E20" s="113">
        <v>0</v>
      </c>
      <c r="F20" s="131">
        <v>0</v>
      </c>
      <c r="G20" s="114">
        <v>0</v>
      </c>
      <c r="H20" s="115">
        <v>0</v>
      </c>
      <c r="I20" s="734"/>
    </row>
    <row r="21" spans="1:9" x14ac:dyDescent="0.2">
      <c r="A21" s="738" t="s">
        <v>348</v>
      </c>
      <c r="B21" s="736"/>
      <c r="C21" s="737" t="s">
        <v>349</v>
      </c>
      <c r="D21" s="113">
        <v>0</v>
      </c>
      <c r="E21" s="113">
        <v>0</v>
      </c>
      <c r="F21" s="131">
        <v>0</v>
      </c>
      <c r="G21" s="114">
        <v>0</v>
      </c>
      <c r="H21" s="115">
        <v>0</v>
      </c>
      <c r="I21" s="734"/>
    </row>
    <row r="22" spans="1:9" x14ac:dyDescent="0.2">
      <c r="A22" s="738"/>
      <c r="B22" s="736" t="s">
        <v>350</v>
      </c>
      <c r="C22" s="737" t="s">
        <v>351</v>
      </c>
      <c r="D22" s="113">
        <v>0</v>
      </c>
      <c r="E22" s="113">
        <v>0</v>
      </c>
      <c r="F22" s="131">
        <v>0</v>
      </c>
      <c r="G22" s="114">
        <v>0</v>
      </c>
      <c r="H22" s="115">
        <v>0</v>
      </c>
      <c r="I22" s="734"/>
    </row>
    <row r="23" spans="1:9" x14ac:dyDescent="0.2">
      <c r="A23" s="738"/>
      <c r="B23" s="736" t="s">
        <v>352</v>
      </c>
      <c r="C23" s="737" t="s">
        <v>353</v>
      </c>
      <c r="D23" s="113">
        <v>0</v>
      </c>
      <c r="E23" s="113">
        <v>0</v>
      </c>
      <c r="F23" s="131">
        <v>0</v>
      </c>
      <c r="G23" s="114">
        <v>0</v>
      </c>
      <c r="H23" s="115">
        <v>0</v>
      </c>
      <c r="I23" s="734"/>
    </row>
    <row r="24" spans="1:9" x14ac:dyDescent="0.2">
      <c r="A24" s="738"/>
      <c r="B24" s="736" t="s">
        <v>354</v>
      </c>
      <c r="C24" s="737" t="s">
        <v>355</v>
      </c>
      <c r="D24" s="113">
        <v>0</v>
      </c>
      <c r="E24" s="113">
        <v>0</v>
      </c>
      <c r="F24" s="131">
        <v>0</v>
      </c>
      <c r="G24" s="114">
        <v>0</v>
      </c>
      <c r="H24" s="115">
        <v>0</v>
      </c>
      <c r="I24" s="734"/>
    </row>
    <row r="25" spans="1:9" x14ac:dyDescent="0.2">
      <c r="A25" s="738"/>
      <c r="B25" s="736" t="s">
        <v>356</v>
      </c>
      <c r="C25" s="737" t="s">
        <v>357</v>
      </c>
      <c r="D25" s="113">
        <v>0</v>
      </c>
      <c r="E25" s="113">
        <v>0</v>
      </c>
      <c r="F25" s="131">
        <v>0</v>
      </c>
      <c r="G25" s="114">
        <v>0</v>
      </c>
      <c r="H25" s="115">
        <v>0</v>
      </c>
      <c r="I25" s="734"/>
    </row>
    <row r="26" spans="1:9" x14ac:dyDescent="0.2">
      <c r="A26" s="735" t="s">
        <v>358</v>
      </c>
      <c r="B26" s="736"/>
      <c r="C26" s="737" t="s">
        <v>359</v>
      </c>
      <c r="D26" s="113">
        <v>0</v>
      </c>
      <c r="E26" s="113">
        <v>0</v>
      </c>
      <c r="F26" s="131">
        <v>0</v>
      </c>
      <c r="G26" s="114">
        <v>0</v>
      </c>
      <c r="H26" s="115">
        <v>0</v>
      </c>
      <c r="I26" s="734"/>
    </row>
    <row r="27" spans="1:9" x14ac:dyDescent="0.2">
      <c r="A27" s="735" t="s">
        <v>360</v>
      </c>
      <c r="B27" s="736"/>
      <c r="C27" s="737" t="s">
        <v>361</v>
      </c>
      <c r="D27" s="113">
        <v>0</v>
      </c>
      <c r="E27" s="113">
        <v>0</v>
      </c>
      <c r="F27" s="131">
        <v>0</v>
      </c>
      <c r="G27" s="114">
        <v>0</v>
      </c>
      <c r="H27" s="115">
        <v>0</v>
      </c>
      <c r="I27" s="734"/>
    </row>
    <row r="28" spans="1:9" x14ac:dyDescent="0.2">
      <c r="A28" s="735" t="s">
        <v>362</v>
      </c>
      <c r="B28" s="736"/>
      <c r="C28" s="737" t="s">
        <v>280</v>
      </c>
      <c r="D28" s="113">
        <v>0</v>
      </c>
      <c r="E28" s="113">
        <v>0</v>
      </c>
      <c r="F28" s="131">
        <v>0</v>
      </c>
      <c r="G28" s="114">
        <v>0</v>
      </c>
      <c r="H28" s="115">
        <v>0</v>
      </c>
      <c r="I28" s="734"/>
    </row>
    <row r="29" spans="1:9" x14ac:dyDescent="0.2">
      <c r="A29" s="739"/>
      <c r="B29" s="740" t="s">
        <v>363</v>
      </c>
      <c r="C29" s="737" t="s">
        <v>287</v>
      </c>
      <c r="D29" s="113">
        <v>0</v>
      </c>
      <c r="E29" s="113">
        <v>0</v>
      </c>
      <c r="F29" s="131">
        <v>0</v>
      </c>
      <c r="G29" s="114">
        <v>0</v>
      </c>
      <c r="H29" s="115">
        <v>0</v>
      </c>
      <c r="I29" s="734"/>
    </row>
    <row r="30" spans="1:9" x14ac:dyDescent="0.2">
      <c r="A30" s="741"/>
      <c r="B30" s="740" t="s">
        <v>364</v>
      </c>
      <c r="C30" s="742" t="s">
        <v>288</v>
      </c>
      <c r="D30" s="113">
        <v>0</v>
      </c>
      <c r="E30" s="113">
        <v>0</v>
      </c>
      <c r="F30" s="131">
        <v>0</v>
      </c>
      <c r="G30" s="114">
        <v>0</v>
      </c>
      <c r="H30" s="115">
        <v>0</v>
      </c>
      <c r="I30" s="734"/>
    </row>
    <row r="31" spans="1:9" x14ac:dyDescent="0.2">
      <c r="A31" s="735" t="s">
        <v>365</v>
      </c>
      <c r="B31" s="736"/>
      <c r="C31" s="737" t="s">
        <v>366</v>
      </c>
      <c r="D31" s="113">
        <v>0</v>
      </c>
      <c r="E31" s="113">
        <v>0</v>
      </c>
      <c r="F31" s="131">
        <v>0</v>
      </c>
      <c r="G31" s="114">
        <v>0</v>
      </c>
      <c r="H31" s="115">
        <v>0</v>
      </c>
      <c r="I31" s="734"/>
    </row>
    <row r="32" spans="1:9" x14ac:dyDescent="0.2">
      <c r="A32" s="741"/>
      <c r="B32" s="740" t="s">
        <v>367</v>
      </c>
      <c r="C32" s="737" t="s">
        <v>289</v>
      </c>
      <c r="D32" s="113">
        <v>0</v>
      </c>
      <c r="E32" s="113">
        <v>0</v>
      </c>
      <c r="F32" s="131">
        <v>0</v>
      </c>
      <c r="G32" s="114">
        <v>0</v>
      </c>
      <c r="H32" s="115">
        <v>0</v>
      </c>
      <c r="I32" s="734"/>
    </row>
    <row r="33" spans="1:9" ht="15.75" thickBot="1" x14ac:dyDescent="0.3">
      <c r="A33" s="743" t="s">
        <v>124</v>
      </c>
      <c r="B33" s="744"/>
      <c r="C33" s="745"/>
      <c r="D33" s="746">
        <f>SUM(D6:D32)</f>
        <v>0</v>
      </c>
      <c r="E33" s="746">
        <f>SUM(E6:E32)</f>
        <v>0</v>
      </c>
      <c r="F33" s="747">
        <f>SUM(F6:F32)</f>
        <v>0</v>
      </c>
      <c r="G33" s="746">
        <f>SUM(G6:G32)</f>
        <v>0</v>
      </c>
      <c r="H33" s="748">
        <f>SUM(H6:H32)</f>
        <v>0</v>
      </c>
      <c r="I33" s="749"/>
    </row>
    <row r="34" spans="1:9" ht="15.75" thickTop="1" x14ac:dyDescent="0.25">
      <c r="A34" s="750" t="s">
        <v>368</v>
      </c>
      <c r="B34" s="751"/>
      <c r="C34" s="752" t="s">
        <v>369</v>
      </c>
      <c r="D34" s="113"/>
      <c r="E34" s="113"/>
      <c r="F34" s="131"/>
      <c r="G34" s="114"/>
      <c r="H34" s="163">
        <v>0</v>
      </c>
      <c r="I34" s="753"/>
    </row>
    <row r="35" spans="1:9" x14ac:dyDescent="0.2">
      <c r="A35" s="738"/>
      <c r="B35" s="736" t="s">
        <v>370</v>
      </c>
      <c r="C35" s="737" t="s">
        <v>371</v>
      </c>
      <c r="D35" s="113">
        <v>0</v>
      </c>
      <c r="E35" s="113">
        <v>0</v>
      </c>
      <c r="F35" s="113">
        <v>0</v>
      </c>
      <c r="G35" s="114">
        <v>0</v>
      </c>
      <c r="H35" s="115">
        <v>0</v>
      </c>
      <c r="I35" s="734"/>
    </row>
    <row r="36" spans="1:9" ht="15" x14ac:dyDescent="0.25">
      <c r="A36" s="754"/>
      <c r="B36" s="755" t="s">
        <v>372</v>
      </c>
      <c r="C36" s="756" t="s">
        <v>373</v>
      </c>
      <c r="D36" s="113">
        <v>0</v>
      </c>
      <c r="E36" s="113">
        <v>0</v>
      </c>
      <c r="F36" s="131">
        <v>0</v>
      </c>
      <c r="G36" s="114">
        <v>0</v>
      </c>
      <c r="H36" s="115">
        <v>0</v>
      </c>
      <c r="I36" s="120"/>
    </row>
    <row r="37" spans="1:9" x14ac:dyDescent="0.2">
      <c r="A37" s="738"/>
      <c r="B37" s="736" t="s">
        <v>374</v>
      </c>
      <c r="C37" s="737" t="s">
        <v>293</v>
      </c>
      <c r="D37" s="113">
        <v>0</v>
      </c>
      <c r="E37" s="113">
        <v>0</v>
      </c>
      <c r="F37" s="113">
        <v>0</v>
      </c>
      <c r="G37" s="114">
        <v>0</v>
      </c>
      <c r="H37" s="115">
        <v>0</v>
      </c>
      <c r="I37" s="734"/>
    </row>
    <row r="38" spans="1:9" ht="15" x14ac:dyDescent="0.25">
      <c r="A38" s="738"/>
      <c r="B38" s="757" t="s">
        <v>10</v>
      </c>
      <c r="C38" s="758" t="s">
        <v>136</v>
      </c>
      <c r="D38" s="113">
        <v>0</v>
      </c>
      <c r="E38" s="113">
        <v>0</v>
      </c>
      <c r="F38" s="131">
        <v>0</v>
      </c>
      <c r="G38" s="114">
        <v>0</v>
      </c>
      <c r="H38" s="115">
        <v>0</v>
      </c>
      <c r="I38" s="120"/>
    </row>
    <row r="39" spans="1:9" ht="15" x14ac:dyDescent="0.25">
      <c r="A39" s="738"/>
      <c r="B39" s="757" t="s">
        <v>10</v>
      </c>
      <c r="C39" s="758" t="s">
        <v>375</v>
      </c>
      <c r="D39" s="113">
        <v>0</v>
      </c>
      <c r="E39" s="113">
        <v>0</v>
      </c>
      <c r="F39" s="131">
        <v>0</v>
      </c>
      <c r="G39" s="114">
        <v>0</v>
      </c>
      <c r="H39" s="115">
        <v>0</v>
      </c>
      <c r="I39" s="734"/>
    </row>
    <row r="40" spans="1:9" ht="15" x14ac:dyDescent="0.25">
      <c r="A40" s="738"/>
      <c r="B40" s="757" t="s">
        <v>10</v>
      </c>
      <c r="C40" s="758" t="s">
        <v>376</v>
      </c>
      <c r="D40" s="113">
        <v>0</v>
      </c>
      <c r="E40" s="113">
        <v>0</v>
      </c>
      <c r="F40" s="131">
        <v>0</v>
      </c>
      <c r="G40" s="114">
        <v>0</v>
      </c>
      <c r="H40" s="115">
        <v>0</v>
      </c>
      <c r="I40" s="734"/>
    </row>
    <row r="41" spans="1:9" ht="15" x14ac:dyDescent="0.25">
      <c r="A41" s="738"/>
      <c r="B41" s="757" t="s">
        <v>10</v>
      </c>
      <c r="C41" s="758" t="s">
        <v>138</v>
      </c>
      <c r="D41" s="113">
        <v>0</v>
      </c>
      <c r="E41" s="113">
        <v>0</v>
      </c>
      <c r="F41" s="131">
        <v>0</v>
      </c>
      <c r="G41" s="114">
        <v>0</v>
      </c>
      <c r="H41" s="115">
        <v>0</v>
      </c>
      <c r="I41" s="734"/>
    </row>
    <row r="42" spans="1:9" s="765" customFormat="1" x14ac:dyDescent="0.2">
      <c r="A42" s="759" t="s">
        <v>377</v>
      </c>
      <c r="B42" s="760"/>
      <c r="C42" s="761" t="s">
        <v>378</v>
      </c>
      <c r="D42" s="762">
        <v>0</v>
      </c>
      <c r="E42" s="762">
        <v>0</v>
      </c>
      <c r="F42" s="127">
        <v>0</v>
      </c>
      <c r="G42" s="128">
        <v>0</v>
      </c>
      <c r="H42" s="763">
        <v>0</v>
      </c>
      <c r="I42" s="764"/>
    </row>
    <row r="43" spans="1:9" x14ac:dyDescent="0.2">
      <c r="A43" s="738"/>
      <c r="B43" s="736" t="s">
        <v>379</v>
      </c>
      <c r="C43" s="737" t="s">
        <v>31</v>
      </c>
      <c r="D43" s="113">
        <v>0</v>
      </c>
      <c r="E43" s="113">
        <v>0</v>
      </c>
      <c r="F43" s="113">
        <v>0</v>
      </c>
      <c r="G43" s="114">
        <v>0</v>
      </c>
      <c r="H43" s="115">
        <v>0</v>
      </c>
      <c r="I43" s="734"/>
    </row>
    <row r="44" spans="1:9" ht="15" x14ac:dyDescent="0.25">
      <c r="A44" s="738"/>
      <c r="B44" s="757" t="s">
        <v>33</v>
      </c>
      <c r="C44" s="758" t="s">
        <v>222</v>
      </c>
      <c r="D44" s="113">
        <v>0</v>
      </c>
      <c r="E44" s="113">
        <v>0</v>
      </c>
      <c r="F44" s="131">
        <v>0</v>
      </c>
      <c r="G44" s="114">
        <v>0</v>
      </c>
      <c r="H44" s="115">
        <v>0</v>
      </c>
      <c r="I44" s="734"/>
    </row>
    <row r="45" spans="1:9" x14ac:dyDescent="0.2">
      <c r="A45" s="738"/>
      <c r="B45" s="736" t="s">
        <v>380</v>
      </c>
      <c r="C45" s="737" t="s">
        <v>381</v>
      </c>
      <c r="D45" s="113">
        <v>0</v>
      </c>
      <c r="E45" s="113">
        <v>0</v>
      </c>
      <c r="F45" s="131">
        <v>0</v>
      </c>
      <c r="G45" s="114">
        <v>0</v>
      </c>
      <c r="H45" s="115">
        <v>0</v>
      </c>
      <c r="I45" s="734"/>
    </row>
    <row r="46" spans="1:9" x14ac:dyDescent="0.2">
      <c r="A46" s="738"/>
      <c r="B46" s="736" t="s">
        <v>382</v>
      </c>
      <c r="C46" s="737" t="s">
        <v>191</v>
      </c>
      <c r="D46" s="113">
        <v>0</v>
      </c>
      <c r="E46" s="113">
        <v>0</v>
      </c>
      <c r="F46" s="113">
        <v>0</v>
      </c>
      <c r="G46" s="114">
        <v>0</v>
      </c>
      <c r="H46" s="115">
        <v>0</v>
      </c>
      <c r="I46" s="734"/>
    </row>
    <row r="47" spans="1:9" x14ac:dyDescent="0.2">
      <c r="A47" s="738" t="s">
        <v>383</v>
      </c>
      <c r="B47" s="766"/>
      <c r="C47" s="737" t="s">
        <v>384</v>
      </c>
      <c r="D47" s="113">
        <v>0</v>
      </c>
      <c r="E47" s="113">
        <v>0</v>
      </c>
      <c r="F47" s="131">
        <v>0</v>
      </c>
      <c r="G47" s="114">
        <v>0</v>
      </c>
      <c r="H47" s="115">
        <v>0</v>
      </c>
      <c r="I47" s="767"/>
    </row>
    <row r="48" spans="1:9" x14ac:dyDescent="0.2">
      <c r="A48" s="738" t="s">
        <v>385</v>
      </c>
      <c r="B48" s="768"/>
      <c r="C48" s="737" t="s">
        <v>386</v>
      </c>
      <c r="D48" s="113">
        <v>0</v>
      </c>
      <c r="E48" s="113">
        <v>0</v>
      </c>
      <c r="F48" s="131">
        <v>0</v>
      </c>
      <c r="G48" s="114">
        <v>0</v>
      </c>
      <c r="H48" s="115">
        <v>0</v>
      </c>
      <c r="I48" s="734"/>
    </row>
    <row r="49" spans="1:9" ht="15.75" thickBot="1" x14ac:dyDescent="0.3">
      <c r="A49" s="743" t="s">
        <v>125</v>
      </c>
      <c r="B49" s="744"/>
      <c r="C49" s="745"/>
      <c r="D49" s="746">
        <f>SUM(D34:D48)</f>
        <v>0</v>
      </c>
      <c r="E49" s="746">
        <f>SUM(E34:E48)</f>
        <v>0</v>
      </c>
      <c r="F49" s="747">
        <f>SUM(F34:F48)</f>
        <v>0</v>
      </c>
      <c r="G49" s="746">
        <f>SUM(G34:G48)</f>
        <v>0</v>
      </c>
      <c r="H49" s="748">
        <f>SUM(H34:H48)</f>
        <v>0</v>
      </c>
      <c r="I49" s="749"/>
    </row>
    <row r="50" spans="1:9" ht="15.75" thickTop="1" x14ac:dyDescent="0.25">
      <c r="A50" s="769" t="s">
        <v>387</v>
      </c>
      <c r="B50" s="770"/>
      <c r="C50" s="733" t="s">
        <v>388</v>
      </c>
      <c r="D50" s="771"/>
      <c r="E50" s="772"/>
      <c r="F50" s="773"/>
      <c r="G50" s="772"/>
      <c r="H50" s="774"/>
      <c r="I50" s="753"/>
    </row>
    <row r="51" spans="1:9" x14ac:dyDescent="0.2">
      <c r="A51" s="775" t="s">
        <v>389</v>
      </c>
      <c r="B51" s="776"/>
      <c r="C51" s="737" t="s">
        <v>390</v>
      </c>
      <c r="D51" s="777">
        <v>0</v>
      </c>
      <c r="E51" s="113">
        <v>0</v>
      </c>
      <c r="F51" s="178">
        <v>0</v>
      </c>
      <c r="G51" s="777">
        <v>0</v>
      </c>
      <c r="H51" s="163">
        <v>0</v>
      </c>
      <c r="I51" s="734"/>
    </row>
    <row r="52" spans="1:9" x14ac:dyDescent="0.2">
      <c r="A52" s="775" t="s">
        <v>391</v>
      </c>
      <c r="B52" s="776"/>
      <c r="C52" s="737" t="s">
        <v>392</v>
      </c>
      <c r="D52" s="777">
        <v>0</v>
      </c>
      <c r="E52" s="113">
        <v>0</v>
      </c>
      <c r="F52" s="178">
        <v>0</v>
      </c>
      <c r="G52" s="777">
        <v>0</v>
      </c>
      <c r="H52" s="163">
        <v>0</v>
      </c>
      <c r="I52" s="734"/>
    </row>
    <row r="53" spans="1:9" x14ac:dyDescent="0.2">
      <c r="A53" s="778" t="s">
        <v>395</v>
      </c>
      <c r="B53" s="776"/>
      <c r="C53" s="737" t="s">
        <v>299</v>
      </c>
      <c r="D53" s="777">
        <v>0</v>
      </c>
      <c r="E53" s="113">
        <v>0</v>
      </c>
      <c r="F53" s="178">
        <v>0</v>
      </c>
      <c r="G53" s="777">
        <v>0</v>
      </c>
      <c r="H53" s="163">
        <v>0</v>
      </c>
      <c r="I53" s="734"/>
    </row>
    <row r="54" spans="1:9" x14ac:dyDescent="0.2">
      <c r="A54" s="775" t="s">
        <v>396</v>
      </c>
      <c r="B54" s="776"/>
      <c r="C54" s="737" t="s">
        <v>298</v>
      </c>
      <c r="D54" s="777">
        <v>0</v>
      </c>
      <c r="E54" s="113">
        <v>0</v>
      </c>
      <c r="F54" s="178">
        <v>0</v>
      </c>
      <c r="G54" s="777">
        <v>0</v>
      </c>
      <c r="H54" s="163">
        <v>0</v>
      </c>
      <c r="I54" s="734"/>
    </row>
    <row r="55" spans="1:9" x14ac:dyDescent="0.2">
      <c r="A55" s="778" t="s">
        <v>397</v>
      </c>
      <c r="B55" s="776"/>
      <c r="C55" s="737" t="s">
        <v>398</v>
      </c>
      <c r="D55" s="777">
        <v>0</v>
      </c>
      <c r="E55" s="113">
        <v>0</v>
      </c>
      <c r="F55" s="178">
        <v>0</v>
      </c>
      <c r="G55" s="777">
        <v>0</v>
      </c>
      <c r="H55" s="163">
        <v>0</v>
      </c>
      <c r="I55" s="734"/>
    </row>
    <row r="56" spans="1:9" x14ac:dyDescent="0.2">
      <c r="A56" s="775" t="s">
        <v>399</v>
      </c>
      <c r="B56" s="776"/>
      <c r="C56" s="737" t="s">
        <v>400</v>
      </c>
      <c r="D56" s="777">
        <v>0</v>
      </c>
      <c r="E56" s="113">
        <v>0</v>
      </c>
      <c r="F56" s="178">
        <v>0</v>
      </c>
      <c r="G56" s="777">
        <v>0</v>
      </c>
      <c r="H56" s="163">
        <v>0</v>
      </c>
      <c r="I56" s="734"/>
    </row>
    <row r="57" spans="1:9" ht="15.75" thickBot="1" x14ac:dyDescent="0.3">
      <c r="A57" s="779" t="s">
        <v>126</v>
      </c>
      <c r="B57" s="780"/>
      <c r="C57" s="745"/>
      <c r="D57" s="746">
        <f>SUM(D50:D56)</f>
        <v>0</v>
      </c>
      <c r="E57" s="746">
        <f t="shared" ref="E57:H57" si="0">SUM(E50:E56)</f>
        <v>0</v>
      </c>
      <c r="F57" s="747">
        <f t="shared" si="0"/>
        <v>0</v>
      </c>
      <c r="G57" s="746">
        <f t="shared" si="0"/>
        <v>0</v>
      </c>
      <c r="H57" s="748">
        <f t="shared" si="0"/>
        <v>0</v>
      </c>
      <c r="I57" s="749"/>
    </row>
    <row r="58" spans="1:9" ht="15.75" thickTop="1" x14ac:dyDescent="0.25">
      <c r="A58" s="769" t="s">
        <v>401</v>
      </c>
      <c r="B58" s="770"/>
      <c r="C58" s="733" t="s">
        <v>402</v>
      </c>
      <c r="D58" s="781"/>
      <c r="E58" s="782"/>
      <c r="F58" s="783"/>
      <c r="G58" s="782"/>
      <c r="H58" s="163">
        <v>0</v>
      </c>
      <c r="I58" s="753"/>
    </row>
    <row r="59" spans="1:9" x14ac:dyDescent="0.2">
      <c r="A59" s="775" t="s">
        <v>403</v>
      </c>
      <c r="B59" s="784"/>
      <c r="C59" s="737" t="s">
        <v>404</v>
      </c>
      <c r="D59" s="777">
        <v>0</v>
      </c>
      <c r="E59" s="785">
        <v>0</v>
      </c>
      <c r="F59" s="178">
        <v>0</v>
      </c>
      <c r="G59" s="777">
        <v>0</v>
      </c>
      <c r="H59" s="163">
        <v>0</v>
      </c>
      <c r="I59" s="734"/>
    </row>
    <row r="60" spans="1:9" x14ac:dyDescent="0.2">
      <c r="A60" s="778"/>
      <c r="B60" s="784" t="s">
        <v>405</v>
      </c>
      <c r="C60" s="737" t="s">
        <v>406</v>
      </c>
      <c r="D60" s="777">
        <v>0</v>
      </c>
      <c r="E60" s="113">
        <v>0</v>
      </c>
      <c r="F60" s="178">
        <v>0</v>
      </c>
      <c r="G60" s="777">
        <v>0</v>
      </c>
      <c r="H60" s="163">
        <v>0</v>
      </c>
      <c r="I60" s="734"/>
    </row>
    <row r="61" spans="1:9" x14ac:dyDescent="0.2">
      <c r="A61" s="778"/>
      <c r="B61" s="784" t="s">
        <v>407</v>
      </c>
      <c r="C61" s="737" t="s">
        <v>408</v>
      </c>
      <c r="D61" s="777">
        <v>0</v>
      </c>
      <c r="E61" s="113">
        <v>0</v>
      </c>
      <c r="F61" s="178">
        <v>0</v>
      </c>
      <c r="G61" s="777">
        <v>0</v>
      </c>
      <c r="H61" s="163">
        <v>0</v>
      </c>
      <c r="I61" s="734"/>
    </row>
    <row r="62" spans="1:9" x14ac:dyDescent="0.2">
      <c r="A62" s="778" t="s">
        <v>409</v>
      </c>
      <c r="B62" s="786"/>
      <c r="C62" s="737" t="s">
        <v>301</v>
      </c>
      <c r="D62" s="777">
        <v>0</v>
      </c>
      <c r="E62" s="113">
        <v>0</v>
      </c>
      <c r="F62" s="178">
        <v>0</v>
      </c>
      <c r="G62" s="777">
        <v>0</v>
      </c>
      <c r="H62" s="163">
        <v>0</v>
      </c>
      <c r="I62" s="734"/>
    </row>
    <row r="63" spans="1:9" x14ac:dyDescent="0.2">
      <c r="A63" s="778" t="s">
        <v>410</v>
      </c>
      <c r="B63" s="786"/>
      <c r="C63" s="737" t="s">
        <v>411</v>
      </c>
      <c r="D63" s="777">
        <v>0</v>
      </c>
      <c r="E63" s="113">
        <v>0</v>
      </c>
      <c r="F63" s="178">
        <v>0</v>
      </c>
      <c r="G63" s="777">
        <v>0</v>
      </c>
      <c r="H63" s="163">
        <v>0</v>
      </c>
      <c r="I63" s="734"/>
    </row>
    <row r="64" spans="1:9" x14ac:dyDescent="0.2">
      <c r="A64" s="775" t="s">
        <v>412</v>
      </c>
      <c r="B64" s="786"/>
      <c r="C64" s="737" t="s">
        <v>413</v>
      </c>
      <c r="D64" s="777">
        <v>0</v>
      </c>
      <c r="E64" s="113">
        <v>0</v>
      </c>
      <c r="F64" s="178">
        <v>0</v>
      </c>
      <c r="G64" s="777">
        <v>0</v>
      </c>
      <c r="H64" s="163">
        <v>0</v>
      </c>
      <c r="I64" s="734"/>
    </row>
    <row r="65" spans="1:9" x14ac:dyDescent="0.2">
      <c r="A65" s="778" t="s">
        <v>414</v>
      </c>
      <c r="B65" s="786"/>
      <c r="C65" s="737" t="s">
        <v>415</v>
      </c>
      <c r="D65" s="777">
        <v>0</v>
      </c>
      <c r="E65" s="113">
        <v>0</v>
      </c>
      <c r="F65" s="178">
        <v>0</v>
      </c>
      <c r="G65" s="777">
        <v>0</v>
      </c>
      <c r="H65" s="163">
        <v>0</v>
      </c>
      <c r="I65" s="734"/>
    </row>
    <row r="66" spans="1:9" x14ac:dyDescent="0.2">
      <c r="A66" s="775" t="s">
        <v>416</v>
      </c>
      <c r="B66" s="786"/>
      <c r="C66" s="737" t="s">
        <v>417</v>
      </c>
      <c r="D66" s="777">
        <v>0</v>
      </c>
      <c r="E66" s="113">
        <v>0</v>
      </c>
      <c r="F66" s="178">
        <v>0</v>
      </c>
      <c r="G66" s="777">
        <v>0</v>
      </c>
      <c r="H66" s="163">
        <v>0</v>
      </c>
      <c r="I66" s="734"/>
    </row>
    <row r="67" spans="1:9" ht="15.75" thickBot="1" x14ac:dyDescent="0.3">
      <c r="A67" s="787" t="s">
        <v>127</v>
      </c>
      <c r="B67" s="788"/>
      <c r="C67" s="789"/>
      <c r="D67" s="790">
        <f>SUM(D58:D66)</f>
        <v>0</v>
      </c>
      <c r="E67" s="790">
        <f>SUM(E58:E66)</f>
        <v>0</v>
      </c>
      <c r="F67" s="791">
        <f>SUM(F58:F66)</f>
        <v>0</v>
      </c>
      <c r="G67" s="790">
        <f>SUM(G58:G66)</f>
        <v>0</v>
      </c>
      <c r="H67" s="792">
        <f>SUM(H58:H66)</f>
        <v>0</v>
      </c>
      <c r="I67" s="734"/>
    </row>
    <row r="68" spans="1:9" ht="15" x14ac:dyDescent="0.25">
      <c r="A68" s="793" t="s">
        <v>418</v>
      </c>
      <c r="B68" s="794"/>
      <c r="C68" s="795" t="s">
        <v>419</v>
      </c>
      <c r="D68" s="777"/>
      <c r="E68" s="777"/>
      <c r="F68" s="178"/>
      <c r="G68" s="777"/>
      <c r="H68" s="163">
        <v>0</v>
      </c>
      <c r="I68" s="734"/>
    </row>
    <row r="69" spans="1:9" x14ac:dyDescent="0.2">
      <c r="A69" s="775"/>
      <c r="B69" s="776" t="s">
        <v>420</v>
      </c>
      <c r="C69" s="737"/>
      <c r="D69" s="777">
        <v>0</v>
      </c>
      <c r="E69" s="777">
        <v>0</v>
      </c>
      <c r="F69" s="178">
        <v>0</v>
      </c>
      <c r="G69" s="777">
        <v>0</v>
      </c>
      <c r="H69" s="163">
        <v>0</v>
      </c>
      <c r="I69" s="734"/>
    </row>
    <row r="70" spans="1:9" x14ac:dyDescent="0.2">
      <c r="A70" s="778"/>
      <c r="B70" s="776" t="s">
        <v>304</v>
      </c>
      <c r="C70" s="737"/>
      <c r="D70" s="777">
        <v>0</v>
      </c>
      <c r="E70" s="777">
        <v>0</v>
      </c>
      <c r="F70" s="178">
        <v>0</v>
      </c>
      <c r="G70" s="777">
        <v>0</v>
      </c>
      <c r="H70" s="163">
        <v>0</v>
      </c>
      <c r="I70" s="734"/>
    </row>
    <row r="71" spans="1:9" ht="15.75" thickBot="1" x14ac:dyDescent="0.3">
      <c r="A71" s="796" t="s">
        <v>129</v>
      </c>
      <c r="B71" s="797"/>
      <c r="C71" s="798"/>
      <c r="D71" s="799">
        <f>SUM(D69:D70)</f>
        <v>0</v>
      </c>
      <c r="E71" s="799">
        <f>SUM(E69:E70)</f>
        <v>0</v>
      </c>
      <c r="F71" s="791">
        <f t="shared" ref="F71:G71" si="1">SUM(F69:F70)</f>
        <v>0</v>
      </c>
      <c r="G71" s="790">
        <f t="shared" si="1"/>
        <v>0</v>
      </c>
      <c r="H71" s="792">
        <f>SUM(H69:H70)</f>
        <v>0</v>
      </c>
      <c r="I71" s="734"/>
    </row>
    <row r="72" spans="1:9" x14ac:dyDescent="0.2">
      <c r="A72" s="778"/>
      <c r="B72" s="776" t="s">
        <v>421</v>
      </c>
      <c r="C72" s="737"/>
      <c r="D72" s="777"/>
      <c r="E72" s="777"/>
      <c r="F72" s="800"/>
      <c r="G72" s="777"/>
      <c r="H72" s="163">
        <v>0</v>
      </c>
      <c r="I72" s="734"/>
    </row>
    <row r="73" spans="1:9" x14ac:dyDescent="0.2">
      <c r="A73" s="775"/>
      <c r="B73" s="776" t="s">
        <v>422</v>
      </c>
      <c r="C73" s="737"/>
      <c r="D73" s="777"/>
      <c r="E73" s="777"/>
      <c r="F73" s="178"/>
      <c r="G73" s="777"/>
      <c r="H73" s="163">
        <v>0</v>
      </c>
      <c r="I73" s="734"/>
    </row>
    <row r="74" spans="1:9" ht="15.75" thickBot="1" x14ac:dyDescent="0.3">
      <c r="A74" s="801" t="s">
        <v>423</v>
      </c>
      <c r="B74" s="802"/>
      <c r="C74" s="803"/>
      <c r="D74" s="804">
        <f>'PCFP - All Revenue AA-1 R-11'!D33+'PCFP - All Revenue AA-1 R-11'!D49+'PCFP - All Revenue AA-1 R-11'!D57+'PCFP - All Revenue AA-1 R-11'!D71+'PCFP - All Revenue AA-1 R-11'!D67</f>
        <v>0</v>
      </c>
      <c r="E74" s="804">
        <f>'PCFP - All Revenue AA-1 R-11'!E33+'PCFP - All Revenue AA-1 R-11'!E49+'PCFP - All Revenue AA-1 R-11'!E57+'PCFP - All Revenue AA-1 R-11'!E71+'PCFP - All Revenue AA-1 R-11'!E67</f>
        <v>0</v>
      </c>
      <c r="F74" s="805">
        <f>'PCFP - All Revenue AA-1 R-11'!F33+'PCFP - All Revenue AA-1 R-11'!F49+'PCFP - All Revenue AA-1 R-11'!F57+'PCFP - All Revenue AA-1 R-11'!F71+'PCFP - All Revenue AA-1 R-11'!F67</f>
        <v>0</v>
      </c>
      <c r="G74" s="804">
        <f>'PCFP - All Revenue AA-1 R-11'!G33+'PCFP - All Revenue AA-1 R-11'!G49+'PCFP - All Revenue AA-1 R-11'!G57+'PCFP - All Revenue AA-1 R-11'!G71+'PCFP - All Revenue AA-1 R-11'!G67</f>
        <v>0</v>
      </c>
      <c r="H74" s="806">
        <f>'PCFP - All Revenue AA-1 R-11'!H33+'PCFP - All Revenue AA-1 R-11'!H49+'PCFP - All Revenue AA-1 R-11'!H57+'PCFP - All Revenue AA-1 R-11'!H71+'PCFP - All Revenue AA-1 R-11'!H67</f>
        <v>0</v>
      </c>
      <c r="I74" s="734"/>
    </row>
    <row r="75" spans="1:9" ht="15.75" thickTop="1" x14ac:dyDescent="0.25">
      <c r="A75" s="807"/>
      <c r="B75" s="808" t="s">
        <v>10</v>
      </c>
      <c r="C75" s="809" t="s">
        <v>424</v>
      </c>
      <c r="D75" s="777"/>
      <c r="E75" s="785"/>
      <c r="F75" s="178"/>
      <c r="G75" s="777"/>
      <c r="H75" s="163">
        <v>0</v>
      </c>
      <c r="I75" s="734"/>
    </row>
    <row r="76" spans="1:9" ht="15" x14ac:dyDescent="0.25">
      <c r="A76" s="807"/>
      <c r="B76" s="810" t="s">
        <v>10</v>
      </c>
      <c r="C76" s="809" t="s">
        <v>425</v>
      </c>
      <c r="D76" s="777"/>
      <c r="E76" s="113"/>
      <c r="F76" s="178"/>
      <c r="G76" s="777"/>
      <c r="H76" s="163">
        <v>0</v>
      </c>
      <c r="I76" s="734"/>
    </row>
    <row r="77" spans="1:9" ht="15" x14ac:dyDescent="0.25">
      <c r="A77" s="807"/>
      <c r="B77" s="810" t="s">
        <v>10</v>
      </c>
      <c r="C77" s="809" t="s">
        <v>426</v>
      </c>
      <c r="D77" s="777"/>
      <c r="E77" s="113"/>
      <c r="F77" s="178"/>
      <c r="G77" s="777"/>
      <c r="H77" s="163">
        <v>0</v>
      </c>
      <c r="I77" s="734"/>
    </row>
    <row r="78" spans="1:9" ht="15.75" thickBot="1" x14ac:dyDescent="0.3">
      <c r="A78" s="811"/>
      <c r="B78" s="812" t="s">
        <v>10</v>
      </c>
      <c r="C78" s="813" t="s">
        <v>427</v>
      </c>
      <c r="D78" s="790"/>
      <c r="E78" s="799"/>
      <c r="F78" s="791"/>
      <c r="G78" s="790"/>
      <c r="H78" s="814">
        <v>0</v>
      </c>
      <c r="I78" s="734"/>
    </row>
    <row r="79" spans="1:9" ht="15" x14ac:dyDescent="0.25">
      <c r="A79" s="815"/>
      <c r="B79" s="816"/>
      <c r="C79" s="817"/>
      <c r="D79" s="818">
        <f>SUM(D75:D78)</f>
        <v>0</v>
      </c>
      <c r="E79" s="818">
        <f t="shared" ref="E79:G79" si="2">SUM(E75:E78)</f>
        <v>0</v>
      </c>
      <c r="F79" s="818">
        <f t="shared" si="2"/>
        <v>0</v>
      </c>
      <c r="G79" s="818">
        <f t="shared" si="2"/>
        <v>0</v>
      </c>
      <c r="H79" s="818">
        <f>SUM(H75:H78)</f>
        <v>0</v>
      </c>
    </row>
    <row r="80" spans="1:9" x14ac:dyDescent="0.2">
      <c r="A80" s="819"/>
      <c r="B80" s="819"/>
      <c r="C80" s="820"/>
      <c r="D80" s="820"/>
      <c r="E80" s="820"/>
      <c r="F80" s="820"/>
      <c r="G80" s="820"/>
      <c r="H80" s="820"/>
    </row>
    <row r="81" spans="1:8" x14ac:dyDescent="0.2">
      <c r="A81" s="736"/>
      <c r="B81" s="736"/>
      <c r="C81" s="821" t="str">
        <f>C1</f>
        <v>Test District</v>
      </c>
      <c r="D81" s="820" t="s">
        <v>428</v>
      </c>
      <c r="E81" s="820"/>
      <c r="F81" s="820"/>
      <c r="G81" s="822" t="str">
        <f>"Budget Fiscal Year "&amp;TEXT('[11]Form 1'!$C$136, "mm/dd/yy")</f>
        <v>Budget Fiscal Year 2019-2020</v>
      </c>
      <c r="H81" s="820"/>
    </row>
    <row r="82" spans="1:8" x14ac:dyDescent="0.2">
      <c r="A82" s="740"/>
      <c r="B82" s="740"/>
      <c r="C82" s="823" t="s">
        <v>429</v>
      </c>
      <c r="D82" s="819" t="s">
        <v>430</v>
      </c>
      <c r="E82" s="820"/>
      <c r="F82" s="824"/>
      <c r="G82" s="822" t="s">
        <v>431</v>
      </c>
      <c r="H82" s="820"/>
    </row>
    <row r="83" spans="1:8" x14ac:dyDescent="0.2">
      <c r="A83" s="819"/>
      <c r="B83" s="819"/>
      <c r="C83" s="820"/>
      <c r="D83" s="820"/>
      <c r="E83" s="820"/>
      <c r="F83" s="825"/>
      <c r="G83" s="826"/>
      <c r="H83" s="827"/>
    </row>
    <row r="84" spans="1:8" x14ac:dyDescent="0.2">
      <c r="A84" s="819"/>
      <c r="B84" s="819"/>
      <c r="C84" s="820"/>
      <c r="D84" s="820"/>
      <c r="E84" s="820"/>
      <c r="H84" s="822"/>
    </row>
    <row r="85" spans="1:8" x14ac:dyDescent="0.2">
      <c r="A85" s="819"/>
      <c r="B85" s="819"/>
      <c r="C85" s="820"/>
      <c r="D85" s="820"/>
      <c r="E85" s="820"/>
      <c r="H85" s="822"/>
    </row>
  </sheetData>
  <pageMargins left="0.2" right="0.2" top="0.25" bottom="0.25" header="0.05" footer="0.05"/>
  <pageSetup paperSize="5" scale="51" fitToHeight="2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AB798-5489-4D09-BFFA-3FD5F2B86434}">
  <sheetPr>
    <tabColor rgb="FFFFFF00"/>
  </sheetPr>
  <dimension ref="A1:L151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1" width="7.140625" style="901" customWidth="1"/>
    <col min="2" max="2" width="46.7109375" style="706" customWidth="1"/>
    <col min="3" max="3" width="15.85546875" style="897" customWidth="1"/>
    <col min="4" max="4" width="13.140625" style="897" bestFit="1" customWidth="1"/>
    <col min="5" max="5" width="16.7109375" style="897" bestFit="1" customWidth="1"/>
    <col min="6" max="6" width="14.140625" style="897" bestFit="1" customWidth="1"/>
    <col min="7" max="7" width="17.42578125" style="897" bestFit="1" customWidth="1"/>
    <col min="8" max="8" width="16.140625" style="897" bestFit="1" customWidth="1"/>
    <col min="9" max="9" width="19.5703125" style="897" bestFit="1" customWidth="1"/>
    <col min="10" max="10" width="17.7109375" style="897" customWidth="1"/>
    <col min="11" max="11" width="9.28515625" style="706" bestFit="1" customWidth="1"/>
    <col min="12" max="13" width="9.140625" style="706"/>
    <col min="14" max="14" width="5.42578125" style="706" customWidth="1"/>
    <col min="15" max="16384" width="9.140625" style="706"/>
  </cols>
  <sheetData>
    <row r="1" spans="1:11" s="834" customFormat="1" ht="62.25" customHeight="1" thickBot="1" x14ac:dyDescent="0.3">
      <c r="A1" s="828"/>
      <c r="B1" s="829" t="s">
        <v>432</v>
      </c>
      <c r="C1" s="830" t="s">
        <v>433</v>
      </c>
      <c r="D1" s="830" t="s">
        <v>434</v>
      </c>
      <c r="E1" s="830" t="s">
        <v>435</v>
      </c>
      <c r="F1" s="830" t="s">
        <v>436</v>
      </c>
      <c r="G1" s="830" t="s">
        <v>437</v>
      </c>
      <c r="H1" s="830" t="s">
        <v>438</v>
      </c>
      <c r="I1" s="831" t="s">
        <v>494</v>
      </c>
      <c r="J1" s="832" t="s">
        <v>440</v>
      </c>
      <c r="K1" s="833" t="s">
        <v>441</v>
      </c>
    </row>
    <row r="2" spans="1:11" ht="18.75" customHeight="1" x14ac:dyDescent="0.25">
      <c r="A2" s="835" t="s">
        <v>442</v>
      </c>
      <c r="B2" s="836"/>
      <c r="C2" s="837"/>
      <c r="D2" s="837"/>
      <c r="E2" s="837"/>
      <c r="F2" s="837"/>
      <c r="G2" s="837"/>
      <c r="H2" s="837"/>
      <c r="I2" s="838"/>
      <c r="J2" s="839"/>
      <c r="K2" s="753"/>
    </row>
    <row r="3" spans="1:11" x14ac:dyDescent="0.2">
      <c r="A3" s="754">
        <v>100</v>
      </c>
      <c r="B3" s="737" t="s">
        <v>134</v>
      </c>
      <c r="C3" s="131">
        <v>0</v>
      </c>
      <c r="D3" s="131">
        <v>0</v>
      </c>
      <c r="E3" s="131">
        <v>0</v>
      </c>
      <c r="F3" s="131">
        <v>0</v>
      </c>
      <c r="G3" s="131">
        <v>0</v>
      </c>
      <c r="H3" s="131">
        <v>0</v>
      </c>
      <c r="I3" s="840">
        <v>0</v>
      </c>
      <c r="J3" s="131">
        <f>SUM(C3:I3)</f>
        <v>0</v>
      </c>
      <c r="K3" s="734"/>
    </row>
    <row r="4" spans="1:11" x14ac:dyDescent="0.2">
      <c r="A4" s="754">
        <v>200</v>
      </c>
      <c r="B4" s="737" t="s">
        <v>135</v>
      </c>
      <c r="C4" s="131">
        <v>0</v>
      </c>
      <c r="D4" s="131">
        <v>0</v>
      </c>
      <c r="E4" s="131">
        <v>0</v>
      </c>
      <c r="F4" s="131">
        <v>0</v>
      </c>
      <c r="G4" s="131">
        <v>0</v>
      </c>
      <c r="H4" s="131">
        <v>0</v>
      </c>
      <c r="I4" s="840">
        <v>0</v>
      </c>
      <c r="J4" s="131">
        <f t="shared" ref="J4:J67" si="0">SUM(C4:I4)</f>
        <v>0</v>
      </c>
      <c r="K4" s="734"/>
    </row>
    <row r="5" spans="1:11" x14ac:dyDescent="0.2">
      <c r="A5" s="841" t="s">
        <v>10</v>
      </c>
      <c r="B5" s="842" t="s">
        <v>136</v>
      </c>
      <c r="C5" s="131">
        <v>0</v>
      </c>
      <c r="D5" s="131">
        <v>0</v>
      </c>
      <c r="E5" s="131">
        <v>0</v>
      </c>
      <c r="F5" s="131">
        <v>0</v>
      </c>
      <c r="G5" s="131">
        <v>0</v>
      </c>
      <c r="H5" s="131">
        <v>0</v>
      </c>
      <c r="I5" s="840">
        <v>0</v>
      </c>
      <c r="J5" s="131">
        <f t="shared" si="0"/>
        <v>0</v>
      </c>
      <c r="K5" s="212"/>
    </row>
    <row r="6" spans="1:11" x14ac:dyDescent="0.2">
      <c r="A6" s="754">
        <v>270</v>
      </c>
      <c r="B6" s="737" t="s">
        <v>137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840">
        <v>0</v>
      </c>
      <c r="J6" s="131">
        <f t="shared" si="0"/>
        <v>0</v>
      </c>
      <c r="K6" s="734"/>
    </row>
    <row r="7" spans="1:11" x14ac:dyDescent="0.2">
      <c r="A7" s="841" t="s">
        <v>10</v>
      </c>
      <c r="B7" s="842" t="s">
        <v>138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840">
        <v>0</v>
      </c>
      <c r="J7" s="131">
        <f t="shared" si="0"/>
        <v>0</v>
      </c>
      <c r="K7" s="212"/>
    </row>
    <row r="8" spans="1:11" x14ac:dyDescent="0.2">
      <c r="A8" s="754">
        <v>300</v>
      </c>
      <c r="B8" s="737" t="s">
        <v>139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840">
        <v>0</v>
      </c>
      <c r="J8" s="131">
        <f t="shared" si="0"/>
        <v>0</v>
      </c>
      <c r="K8" s="734"/>
    </row>
    <row r="9" spans="1:11" x14ac:dyDescent="0.2">
      <c r="A9" s="754">
        <v>400</v>
      </c>
      <c r="B9" s="737" t="s">
        <v>140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840">
        <v>0</v>
      </c>
      <c r="J9" s="131">
        <f t="shared" si="0"/>
        <v>0</v>
      </c>
      <c r="K9" s="734"/>
    </row>
    <row r="10" spans="1:11" x14ac:dyDescent="0.2">
      <c r="A10" s="841" t="s">
        <v>10</v>
      </c>
      <c r="B10" s="842" t="s">
        <v>141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840">
        <v>0</v>
      </c>
      <c r="J10" s="131">
        <f t="shared" si="0"/>
        <v>0</v>
      </c>
      <c r="K10" s="212"/>
    </row>
    <row r="11" spans="1:11" x14ac:dyDescent="0.2">
      <c r="A11" s="841" t="s">
        <v>10</v>
      </c>
      <c r="B11" s="842" t="s">
        <v>142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840">
        <v>0</v>
      </c>
      <c r="J11" s="131">
        <f t="shared" si="0"/>
        <v>0</v>
      </c>
      <c r="K11" s="212"/>
    </row>
    <row r="12" spans="1:11" x14ac:dyDescent="0.2">
      <c r="A12" s="754">
        <v>440</v>
      </c>
      <c r="B12" s="737" t="s">
        <v>143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840">
        <v>0</v>
      </c>
      <c r="J12" s="131">
        <f t="shared" si="0"/>
        <v>0</v>
      </c>
      <c r="K12" s="734"/>
    </row>
    <row r="13" spans="1:11" x14ac:dyDescent="0.2">
      <c r="A13" s="754">
        <v>500</v>
      </c>
      <c r="B13" s="737" t="s">
        <v>144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840">
        <v>0</v>
      </c>
      <c r="J13" s="131">
        <f t="shared" si="0"/>
        <v>0</v>
      </c>
      <c r="K13" s="734"/>
    </row>
    <row r="14" spans="1:11" x14ac:dyDescent="0.2">
      <c r="A14" s="754">
        <v>600</v>
      </c>
      <c r="B14" s="737" t="s">
        <v>145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840">
        <v>0</v>
      </c>
      <c r="J14" s="131">
        <f t="shared" si="0"/>
        <v>0</v>
      </c>
      <c r="K14" s="734"/>
    </row>
    <row r="15" spans="1:11" x14ac:dyDescent="0.2">
      <c r="A15" s="754">
        <v>800</v>
      </c>
      <c r="B15" s="737" t="s">
        <v>146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840">
        <v>0</v>
      </c>
      <c r="J15" s="131">
        <f t="shared" si="0"/>
        <v>0</v>
      </c>
      <c r="K15" s="734"/>
    </row>
    <row r="16" spans="1:11" x14ac:dyDescent="0.2">
      <c r="A16" s="754">
        <v>910</v>
      </c>
      <c r="B16" s="737" t="s">
        <v>147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840">
        <v>0</v>
      </c>
      <c r="J16" s="131">
        <f t="shared" si="0"/>
        <v>0</v>
      </c>
      <c r="K16" s="734"/>
    </row>
    <row r="17" spans="1:11" x14ac:dyDescent="0.2">
      <c r="A17" s="754">
        <v>920</v>
      </c>
      <c r="B17" s="737" t="s">
        <v>148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840">
        <v>0</v>
      </c>
      <c r="J17" s="131">
        <f t="shared" si="0"/>
        <v>0</v>
      </c>
      <c r="K17" s="734"/>
    </row>
    <row r="18" spans="1:11" ht="2.25" customHeight="1" x14ac:dyDescent="0.2">
      <c r="A18" s="754"/>
      <c r="B18" s="737"/>
      <c r="C18" s="131"/>
      <c r="D18" s="131"/>
      <c r="E18" s="131"/>
      <c r="F18" s="131"/>
      <c r="G18" s="131"/>
      <c r="H18" s="131"/>
      <c r="I18" s="840"/>
      <c r="J18" s="131">
        <f t="shared" si="0"/>
        <v>0</v>
      </c>
      <c r="K18" s="734"/>
    </row>
    <row r="19" spans="1:11" ht="15" x14ac:dyDescent="0.25">
      <c r="A19" s="843" t="s">
        <v>149</v>
      </c>
      <c r="B19" s="844" t="s">
        <v>150</v>
      </c>
      <c r="C19" s="131"/>
      <c r="D19" s="131"/>
      <c r="E19" s="131"/>
      <c r="F19" s="131"/>
      <c r="G19" s="131"/>
      <c r="H19" s="131"/>
      <c r="I19" s="840"/>
      <c r="J19" s="131"/>
      <c r="K19" s="734"/>
    </row>
    <row r="20" spans="1:11" ht="15" x14ac:dyDescent="0.25">
      <c r="A20" s="843" t="s">
        <v>443</v>
      </c>
      <c r="B20" s="844" t="s">
        <v>444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840">
        <v>0</v>
      </c>
      <c r="J20" s="131">
        <f t="shared" si="0"/>
        <v>0</v>
      </c>
      <c r="K20" s="734"/>
    </row>
    <row r="21" spans="1:11" x14ac:dyDescent="0.2">
      <c r="A21" s="754">
        <v>2100</v>
      </c>
      <c r="B21" s="737" t="s">
        <v>151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840">
        <v>0</v>
      </c>
      <c r="J21" s="131">
        <f t="shared" si="0"/>
        <v>0</v>
      </c>
      <c r="K21" s="734"/>
    </row>
    <row r="22" spans="1:11" x14ac:dyDescent="0.2">
      <c r="A22" s="754">
        <v>2200</v>
      </c>
      <c r="B22" s="737" t="s">
        <v>152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840">
        <v>0</v>
      </c>
      <c r="J22" s="131">
        <f t="shared" si="0"/>
        <v>0</v>
      </c>
      <c r="K22" s="734"/>
    </row>
    <row r="23" spans="1:11" x14ac:dyDescent="0.2">
      <c r="A23" s="754">
        <v>2300</v>
      </c>
      <c r="B23" s="737" t="s">
        <v>153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840">
        <v>0</v>
      </c>
      <c r="J23" s="131">
        <f t="shared" si="0"/>
        <v>0</v>
      </c>
      <c r="K23" s="734"/>
    </row>
    <row r="24" spans="1:11" x14ac:dyDescent="0.2">
      <c r="A24" s="754">
        <v>2400</v>
      </c>
      <c r="B24" s="737" t="s">
        <v>154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840">
        <v>0</v>
      </c>
      <c r="J24" s="131">
        <f t="shared" si="0"/>
        <v>0</v>
      </c>
      <c r="K24" s="734"/>
    </row>
    <row r="25" spans="1:11" x14ac:dyDescent="0.2">
      <c r="A25" s="754">
        <v>2500</v>
      </c>
      <c r="B25" s="737" t="s">
        <v>155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840">
        <v>0</v>
      </c>
      <c r="J25" s="131">
        <f t="shared" si="0"/>
        <v>0</v>
      </c>
      <c r="K25" s="734"/>
    </row>
    <row r="26" spans="1:11" x14ac:dyDescent="0.2">
      <c r="A26" s="754">
        <v>2600</v>
      </c>
      <c r="B26" s="737" t="s">
        <v>156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840">
        <v>0</v>
      </c>
      <c r="J26" s="131">
        <f t="shared" si="0"/>
        <v>0</v>
      </c>
      <c r="K26" s="734"/>
    </row>
    <row r="27" spans="1:11" x14ac:dyDescent="0.2">
      <c r="A27" s="845">
        <v>2700</v>
      </c>
      <c r="B27" s="842" t="s">
        <v>157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840">
        <v>0</v>
      </c>
      <c r="J27" s="131">
        <f t="shared" si="0"/>
        <v>0</v>
      </c>
      <c r="K27" s="212"/>
    </row>
    <row r="28" spans="1:11" x14ac:dyDescent="0.2">
      <c r="A28" s="754">
        <v>2900</v>
      </c>
      <c r="B28" s="737" t="s">
        <v>158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840">
        <v>0</v>
      </c>
      <c r="J28" s="131">
        <f t="shared" si="0"/>
        <v>0</v>
      </c>
      <c r="K28" s="734"/>
    </row>
    <row r="29" spans="1:11" s="834" customFormat="1" ht="15" x14ac:dyDescent="0.25">
      <c r="A29" s="846">
        <v>3000</v>
      </c>
      <c r="B29" s="844" t="s">
        <v>159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840">
        <v>0</v>
      </c>
      <c r="J29" s="131">
        <f t="shared" si="0"/>
        <v>0</v>
      </c>
      <c r="K29" s="847"/>
    </row>
    <row r="30" spans="1:11" x14ac:dyDescent="0.2">
      <c r="A30" s="845">
        <v>3100</v>
      </c>
      <c r="B30" s="842" t="s">
        <v>160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840">
        <v>0</v>
      </c>
      <c r="J30" s="131">
        <f t="shared" si="0"/>
        <v>0</v>
      </c>
      <c r="K30" s="212"/>
    </row>
    <row r="31" spans="1:11" x14ac:dyDescent="0.2">
      <c r="A31" s="754">
        <v>3200</v>
      </c>
      <c r="B31" s="737" t="s">
        <v>161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840">
        <v>0</v>
      </c>
      <c r="J31" s="131">
        <f t="shared" si="0"/>
        <v>0</v>
      </c>
      <c r="K31" s="734"/>
    </row>
    <row r="32" spans="1:11" x14ac:dyDescent="0.2">
      <c r="A32" s="754">
        <v>3300</v>
      </c>
      <c r="B32" s="737" t="s">
        <v>162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840">
        <v>0</v>
      </c>
      <c r="J32" s="131">
        <f t="shared" si="0"/>
        <v>0</v>
      </c>
      <c r="K32" s="734"/>
    </row>
    <row r="33" spans="1:11" s="851" customFormat="1" x14ac:dyDescent="0.2">
      <c r="A33" s="848">
        <v>4100</v>
      </c>
      <c r="B33" s="849" t="s">
        <v>163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840">
        <v>0</v>
      </c>
      <c r="J33" s="131">
        <f t="shared" si="0"/>
        <v>0</v>
      </c>
      <c r="K33" s="850"/>
    </row>
    <row r="34" spans="1:11" s="853" customFormat="1" ht="15" x14ac:dyDescent="0.25">
      <c r="A34" s="848">
        <v>4000</v>
      </c>
      <c r="B34" s="849" t="s">
        <v>164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840">
        <v>0</v>
      </c>
      <c r="J34" s="131">
        <f t="shared" si="0"/>
        <v>0</v>
      </c>
      <c r="K34" s="852"/>
    </row>
    <row r="35" spans="1:11" s="851" customFormat="1" x14ac:dyDescent="0.2">
      <c r="A35" s="848">
        <v>4200</v>
      </c>
      <c r="B35" s="849" t="s">
        <v>165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840">
        <v>0</v>
      </c>
      <c r="J35" s="131">
        <f t="shared" si="0"/>
        <v>0</v>
      </c>
      <c r="K35" s="850"/>
    </row>
    <row r="36" spans="1:11" s="851" customFormat="1" x14ac:dyDescent="0.2">
      <c r="A36" s="848">
        <v>4300</v>
      </c>
      <c r="B36" s="849" t="s">
        <v>166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840">
        <v>0</v>
      </c>
      <c r="J36" s="131">
        <f t="shared" si="0"/>
        <v>0</v>
      </c>
      <c r="K36" s="850"/>
    </row>
    <row r="37" spans="1:11" s="851" customFormat="1" x14ac:dyDescent="0.2">
      <c r="A37" s="848">
        <v>4400</v>
      </c>
      <c r="B37" s="849" t="s">
        <v>167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840">
        <v>0</v>
      </c>
      <c r="J37" s="131">
        <f t="shared" si="0"/>
        <v>0</v>
      </c>
      <c r="K37" s="850"/>
    </row>
    <row r="38" spans="1:11" s="851" customFormat="1" x14ac:dyDescent="0.2">
      <c r="A38" s="848">
        <v>4500</v>
      </c>
      <c r="B38" s="849" t="s">
        <v>168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840">
        <v>0</v>
      </c>
      <c r="J38" s="131">
        <f t="shared" si="0"/>
        <v>0</v>
      </c>
      <c r="K38" s="850"/>
    </row>
    <row r="39" spans="1:11" s="851" customFormat="1" x14ac:dyDescent="0.2">
      <c r="A39" s="848">
        <v>4600</v>
      </c>
      <c r="B39" s="849" t="s">
        <v>169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840">
        <v>0</v>
      </c>
      <c r="J39" s="131">
        <f t="shared" si="0"/>
        <v>0</v>
      </c>
      <c r="K39" s="850"/>
    </row>
    <row r="40" spans="1:11" s="851" customFormat="1" x14ac:dyDescent="0.2">
      <c r="A40" s="848">
        <v>4700</v>
      </c>
      <c r="B40" s="849" t="s">
        <v>170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840">
        <v>0</v>
      </c>
      <c r="J40" s="131">
        <f t="shared" si="0"/>
        <v>0</v>
      </c>
      <c r="K40" s="850"/>
    </row>
    <row r="41" spans="1:11" s="851" customFormat="1" x14ac:dyDescent="0.2">
      <c r="A41" s="848">
        <v>4900</v>
      </c>
      <c r="B41" s="849" t="s">
        <v>171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840">
        <v>0</v>
      </c>
      <c r="J41" s="131">
        <f t="shared" si="0"/>
        <v>0</v>
      </c>
      <c r="K41" s="850"/>
    </row>
    <row r="42" spans="1:11" x14ac:dyDescent="0.2">
      <c r="A42" s="848">
        <v>5000</v>
      </c>
      <c r="B42" s="854" t="s">
        <v>172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840">
        <v>0</v>
      </c>
      <c r="J42" s="131">
        <f t="shared" si="0"/>
        <v>0</v>
      </c>
      <c r="K42" s="734"/>
    </row>
    <row r="43" spans="1:11" x14ac:dyDescent="0.2">
      <c r="A43" s="848">
        <v>5000</v>
      </c>
      <c r="B43" s="854" t="s">
        <v>173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840">
        <v>0</v>
      </c>
      <c r="J43" s="131">
        <f t="shared" si="0"/>
        <v>0</v>
      </c>
      <c r="K43" s="734"/>
    </row>
    <row r="44" spans="1:11" x14ac:dyDescent="0.2">
      <c r="A44" s="848">
        <v>6100</v>
      </c>
      <c r="B44" s="854" t="s">
        <v>174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840">
        <v>0</v>
      </c>
      <c r="J44" s="131">
        <f t="shared" si="0"/>
        <v>0</v>
      </c>
      <c r="K44" s="734"/>
    </row>
    <row r="45" spans="1:11" x14ac:dyDescent="0.2">
      <c r="A45" s="754">
        <v>6200</v>
      </c>
      <c r="B45" s="737" t="s">
        <v>175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840">
        <v>0</v>
      </c>
      <c r="J45" s="131">
        <f t="shared" si="0"/>
        <v>0</v>
      </c>
      <c r="K45" s="734"/>
    </row>
    <row r="46" spans="1:11" x14ac:dyDescent="0.2">
      <c r="A46" s="754">
        <v>6300</v>
      </c>
      <c r="B46" s="737" t="s">
        <v>176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840">
        <v>0</v>
      </c>
      <c r="J46" s="131">
        <f t="shared" si="0"/>
        <v>0</v>
      </c>
      <c r="K46" s="734"/>
    </row>
    <row r="47" spans="1:11" x14ac:dyDescent="0.2">
      <c r="A47" s="754">
        <v>8000</v>
      </c>
      <c r="B47" s="855" t="s">
        <v>177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840">
        <v>0</v>
      </c>
      <c r="J47" s="131">
        <f t="shared" si="0"/>
        <v>0</v>
      </c>
      <c r="K47" s="734"/>
    </row>
    <row r="48" spans="1:11" x14ac:dyDescent="0.2">
      <c r="A48" s="754"/>
      <c r="B48" s="855" t="s">
        <v>445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840">
        <v>0</v>
      </c>
      <c r="J48" s="131">
        <f t="shared" si="0"/>
        <v>0</v>
      </c>
      <c r="K48" s="734"/>
    </row>
    <row r="49" spans="1:11" x14ac:dyDescent="0.2">
      <c r="A49" s="856"/>
      <c r="B49" s="742" t="s">
        <v>446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840">
        <v>0</v>
      </c>
      <c r="J49" s="131">
        <f t="shared" si="0"/>
        <v>0</v>
      </c>
      <c r="K49" s="734"/>
    </row>
    <row r="50" spans="1:11" ht="15" thickBot="1" x14ac:dyDescent="0.25">
      <c r="A50" s="857"/>
      <c r="B50" s="858" t="s">
        <v>255</v>
      </c>
      <c r="C50" s="859">
        <v>0</v>
      </c>
      <c r="D50" s="859">
        <v>0</v>
      </c>
      <c r="E50" s="859">
        <v>0</v>
      </c>
      <c r="F50" s="859">
        <v>0</v>
      </c>
      <c r="G50" s="859">
        <v>0</v>
      </c>
      <c r="H50" s="859">
        <v>0</v>
      </c>
      <c r="I50" s="860">
        <v>0</v>
      </c>
      <c r="J50" s="859">
        <f t="shared" si="0"/>
        <v>0</v>
      </c>
      <c r="K50" s="861"/>
    </row>
    <row r="51" spans="1:11" ht="15.75" thickBot="1" x14ac:dyDescent="0.3">
      <c r="A51" s="862"/>
      <c r="B51" s="863" t="s">
        <v>447</v>
      </c>
      <c r="C51" s="864">
        <f>SUM(C2:C50)</f>
        <v>0</v>
      </c>
      <c r="D51" s="864">
        <f>SUM(D2:D50)</f>
        <v>0</v>
      </c>
      <c r="E51" s="864">
        <f>SUM(E2:E50)</f>
        <v>0</v>
      </c>
      <c r="F51" s="864">
        <f t="shared" ref="F51:I51" si="1">SUM(F2:F50)</f>
        <v>0</v>
      </c>
      <c r="G51" s="864">
        <f t="shared" si="1"/>
        <v>0</v>
      </c>
      <c r="H51" s="864">
        <f t="shared" si="1"/>
        <v>0</v>
      </c>
      <c r="I51" s="865">
        <f t="shared" si="1"/>
        <v>0</v>
      </c>
      <c r="J51" s="864">
        <f t="shared" si="0"/>
        <v>0</v>
      </c>
      <c r="K51" s="866"/>
    </row>
    <row r="52" spans="1:11" ht="15" x14ac:dyDescent="0.25">
      <c r="A52" s="846" t="s">
        <v>448</v>
      </c>
      <c r="B52" s="737"/>
      <c r="C52" s="867">
        <v>0</v>
      </c>
      <c r="D52" s="867">
        <v>0</v>
      </c>
      <c r="E52" s="867">
        <v>0</v>
      </c>
      <c r="F52" s="867">
        <v>0</v>
      </c>
      <c r="G52" s="867">
        <v>0</v>
      </c>
      <c r="H52" s="867">
        <v>0</v>
      </c>
      <c r="I52" s="868">
        <v>0</v>
      </c>
      <c r="J52" s="178">
        <f t="shared" si="0"/>
        <v>0</v>
      </c>
      <c r="K52" s="753"/>
    </row>
    <row r="53" spans="1:11" ht="15.75" thickBot="1" x14ac:dyDescent="0.3">
      <c r="A53" s="869" t="s">
        <v>453</v>
      </c>
      <c r="B53" s="870"/>
      <c r="C53" s="837">
        <v>0</v>
      </c>
      <c r="D53" s="837">
        <v>0</v>
      </c>
      <c r="E53" s="837">
        <v>0</v>
      </c>
      <c r="F53" s="837">
        <v>0</v>
      </c>
      <c r="G53" s="837">
        <v>0</v>
      </c>
      <c r="H53" s="837">
        <v>0</v>
      </c>
      <c r="I53" s="838">
        <v>0</v>
      </c>
      <c r="J53" s="839">
        <f t="shared" si="0"/>
        <v>0</v>
      </c>
      <c r="K53" s="861"/>
    </row>
    <row r="54" spans="1:11" ht="20.25" customHeight="1" thickBot="1" x14ac:dyDescent="0.3">
      <c r="A54" s="871" t="s">
        <v>454</v>
      </c>
      <c r="B54" s="872"/>
      <c r="C54" s="873">
        <f>SUM(C51:C53)</f>
        <v>0</v>
      </c>
      <c r="D54" s="873">
        <f t="shared" ref="D54:H54" si="2">SUM(D51:D53)</f>
        <v>0</v>
      </c>
      <c r="E54" s="873">
        <f t="shared" si="2"/>
        <v>0</v>
      </c>
      <c r="F54" s="873">
        <f t="shared" si="2"/>
        <v>0</v>
      </c>
      <c r="G54" s="873">
        <f t="shared" si="2"/>
        <v>0</v>
      </c>
      <c r="H54" s="873">
        <f t="shared" si="2"/>
        <v>0</v>
      </c>
      <c r="I54" s="874">
        <f>SUM(I51:I53)</f>
        <v>0</v>
      </c>
      <c r="J54" s="864">
        <f>SUM(C54:I54)</f>
        <v>0</v>
      </c>
      <c r="K54" s="866"/>
    </row>
    <row r="55" spans="1:11" ht="18" customHeight="1" x14ac:dyDescent="0.25">
      <c r="A55" s="846" t="s">
        <v>308</v>
      </c>
      <c r="B55" s="737"/>
      <c r="C55" s="178"/>
      <c r="D55" s="867"/>
      <c r="E55" s="867"/>
      <c r="F55" s="867"/>
      <c r="G55" s="867"/>
      <c r="H55" s="867"/>
      <c r="I55" s="868"/>
      <c r="J55" s="178"/>
      <c r="K55" s="753"/>
    </row>
    <row r="56" spans="1:11" ht="15" x14ac:dyDescent="0.25">
      <c r="A56" s="754"/>
      <c r="B56" s="737" t="s">
        <v>179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840">
        <v>0</v>
      </c>
      <c r="J56" s="131">
        <f t="shared" si="0"/>
        <v>0</v>
      </c>
      <c r="K56" s="875"/>
    </row>
    <row r="57" spans="1:11" ht="15" x14ac:dyDescent="0.25">
      <c r="A57" s="754"/>
      <c r="B57" s="737" t="s">
        <v>145</v>
      </c>
      <c r="C57" s="131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840">
        <v>0</v>
      </c>
      <c r="J57" s="131">
        <f t="shared" si="0"/>
        <v>0</v>
      </c>
      <c r="K57" s="875"/>
    </row>
    <row r="58" spans="1:11" ht="15" x14ac:dyDescent="0.25">
      <c r="A58" s="754"/>
      <c r="B58" s="737" t="s">
        <v>180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840">
        <v>0</v>
      </c>
      <c r="J58" s="131">
        <f t="shared" si="0"/>
        <v>0</v>
      </c>
      <c r="K58" s="875"/>
    </row>
    <row r="59" spans="1:11" ht="15" x14ac:dyDescent="0.25">
      <c r="A59" s="754"/>
      <c r="B59" s="737" t="s">
        <v>181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840">
        <v>0</v>
      </c>
      <c r="J59" s="131">
        <f t="shared" si="0"/>
        <v>0</v>
      </c>
      <c r="K59" s="875"/>
    </row>
    <row r="60" spans="1:11" ht="15" x14ac:dyDescent="0.25">
      <c r="A60" s="754"/>
      <c r="B60" s="737" t="s">
        <v>182</v>
      </c>
      <c r="C60" s="131">
        <v>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840">
        <v>0</v>
      </c>
      <c r="J60" s="131">
        <f t="shared" si="0"/>
        <v>0</v>
      </c>
      <c r="K60" s="875"/>
    </row>
    <row r="61" spans="1:11" ht="15" x14ac:dyDescent="0.25">
      <c r="A61" s="876"/>
      <c r="B61" s="742" t="s">
        <v>183</v>
      </c>
      <c r="C61" s="131">
        <v>0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840">
        <v>0</v>
      </c>
      <c r="J61" s="131">
        <f t="shared" si="0"/>
        <v>0</v>
      </c>
      <c r="K61" s="875"/>
    </row>
    <row r="62" spans="1:11" ht="15" x14ac:dyDescent="0.25">
      <c r="A62" s="876"/>
      <c r="B62" s="742" t="s">
        <v>184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840">
        <v>0</v>
      </c>
      <c r="J62" s="131">
        <f t="shared" si="0"/>
        <v>0</v>
      </c>
      <c r="K62" s="875"/>
    </row>
    <row r="63" spans="1:11" ht="15" x14ac:dyDescent="0.25">
      <c r="A63" s="876"/>
      <c r="B63" s="742" t="s">
        <v>185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840">
        <v>0</v>
      </c>
      <c r="J63" s="131">
        <f t="shared" si="0"/>
        <v>0</v>
      </c>
      <c r="K63" s="875"/>
    </row>
    <row r="64" spans="1:11" ht="15" x14ac:dyDescent="0.25">
      <c r="A64" s="876"/>
      <c r="B64" s="742" t="s">
        <v>186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840">
        <v>0</v>
      </c>
      <c r="J64" s="131">
        <f t="shared" si="0"/>
        <v>0</v>
      </c>
      <c r="K64" s="875"/>
    </row>
    <row r="65" spans="1:11" ht="15" x14ac:dyDescent="0.25">
      <c r="A65" s="876"/>
      <c r="B65" s="742" t="s">
        <v>187</v>
      </c>
      <c r="C65" s="131">
        <v>0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840">
        <v>0</v>
      </c>
      <c r="J65" s="131">
        <f t="shared" si="0"/>
        <v>0</v>
      </c>
      <c r="K65" s="875"/>
    </row>
    <row r="66" spans="1:11" ht="15" x14ac:dyDescent="0.25">
      <c r="A66" s="876"/>
      <c r="B66" s="742" t="s">
        <v>188</v>
      </c>
      <c r="C66" s="131">
        <v>0</v>
      </c>
      <c r="D66" s="131">
        <v>0</v>
      </c>
      <c r="E66" s="131">
        <v>0</v>
      </c>
      <c r="F66" s="131">
        <v>0</v>
      </c>
      <c r="G66" s="131">
        <v>0</v>
      </c>
      <c r="H66" s="131">
        <v>0</v>
      </c>
      <c r="I66" s="840">
        <v>0</v>
      </c>
      <c r="J66" s="131">
        <f t="shared" si="0"/>
        <v>0</v>
      </c>
      <c r="K66" s="875"/>
    </row>
    <row r="67" spans="1:11" ht="15" x14ac:dyDescent="0.25">
      <c r="A67" s="876"/>
      <c r="B67" s="742" t="s">
        <v>189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840">
        <v>0</v>
      </c>
      <c r="J67" s="131">
        <f t="shared" si="0"/>
        <v>0</v>
      </c>
      <c r="K67" s="875"/>
    </row>
    <row r="68" spans="1:11" ht="15" x14ac:dyDescent="0.25">
      <c r="A68" s="754"/>
      <c r="B68" s="737" t="s">
        <v>190</v>
      </c>
      <c r="C68" s="131">
        <v>0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840">
        <v>0</v>
      </c>
      <c r="J68" s="131">
        <f t="shared" ref="J68:J131" si="3">SUM(C68:I68)</f>
        <v>0</v>
      </c>
      <c r="K68" s="875"/>
    </row>
    <row r="69" spans="1:11" ht="15" x14ac:dyDescent="0.25">
      <c r="A69" s="754"/>
      <c r="B69" s="737" t="s">
        <v>191</v>
      </c>
      <c r="C69" s="131">
        <v>0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  <c r="I69" s="840">
        <v>0</v>
      </c>
      <c r="J69" s="131">
        <f t="shared" si="3"/>
        <v>0</v>
      </c>
      <c r="K69" s="875"/>
    </row>
    <row r="70" spans="1:11" ht="15" x14ac:dyDescent="0.25">
      <c r="A70" s="754"/>
      <c r="B70" s="737" t="s">
        <v>192</v>
      </c>
      <c r="C70" s="131">
        <v>0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840">
        <v>0</v>
      </c>
      <c r="J70" s="131">
        <f t="shared" si="3"/>
        <v>0</v>
      </c>
      <c r="K70" s="875"/>
    </row>
    <row r="71" spans="1:11" ht="15" x14ac:dyDescent="0.25">
      <c r="A71" s="754"/>
      <c r="B71" s="737" t="s">
        <v>193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840">
        <v>0</v>
      </c>
      <c r="J71" s="131">
        <f t="shared" si="3"/>
        <v>0</v>
      </c>
      <c r="K71" s="875"/>
    </row>
    <row r="72" spans="1:11" ht="15" x14ac:dyDescent="0.25">
      <c r="A72" s="754"/>
      <c r="B72" s="737" t="s">
        <v>194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840">
        <v>0</v>
      </c>
      <c r="J72" s="131">
        <f t="shared" si="3"/>
        <v>0</v>
      </c>
      <c r="K72" s="875"/>
    </row>
    <row r="73" spans="1:11" ht="15" x14ac:dyDescent="0.25">
      <c r="A73" s="754"/>
      <c r="B73" s="737" t="s">
        <v>195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840">
        <v>0</v>
      </c>
      <c r="J73" s="131">
        <f t="shared" si="3"/>
        <v>0</v>
      </c>
      <c r="K73" s="875"/>
    </row>
    <row r="74" spans="1:11" ht="15" x14ac:dyDescent="0.25">
      <c r="A74" s="754"/>
      <c r="B74" s="737" t="s">
        <v>196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840">
        <v>0</v>
      </c>
      <c r="J74" s="131">
        <f t="shared" si="3"/>
        <v>0</v>
      </c>
      <c r="K74" s="875"/>
    </row>
    <row r="75" spans="1:11" ht="15" x14ac:dyDescent="0.25">
      <c r="A75" s="754"/>
      <c r="B75" s="737" t="s">
        <v>197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31">
        <v>0</v>
      </c>
      <c r="I75" s="840">
        <v>0</v>
      </c>
      <c r="J75" s="131">
        <f t="shared" si="3"/>
        <v>0</v>
      </c>
      <c r="K75" s="875"/>
    </row>
    <row r="76" spans="1:11" ht="15" x14ac:dyDescent="0.25">
      <c r="A76" s="754"/>
      <c r="B76" s="737" t="s">
        <v>198</v>
      </c>
      <c r="C76" s="131">
        <v>0</v>
      </c>
      <c r="D76" s="131">
        <v>0</v>
      </c>
      <c r="E76" s="131">
        <v>0</v>
      </c>
      <c r="F76" s="131">
        <v>0</v>
      </c>
      <c r="G76" s="131">
        <v>0</v>
      </c>
      <c r="H76" s="131">
        <v>0</v>
      </c>
      <c r="I76" s="840">
        <v>0</v>
      </c>
      <c r="J76" s="131">
        <f t="shared" si="3"/>
        <v>0</v>
      </c>
      <c r="K76" s="875"/>
    </row>
    <row r="77" spans="1:11" ht="15" x14ac:dyDescent="0.25">
      <c r="A77" s="754"/>
      <c r="B77" s="737" t="s">
        <v>199</v>
      </c>
      <c r="C77" s="131">
        <v>0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840">
        <v>0</v>
      </c>
      <c r="J77" s="131">
        <f t="shared" si="3"/>
        <v>0</v>
      </c>
      <c r="K77" s="875"/>
    </row>
    <row r="78" spans="1:11" ht="15" x14ac:dyDescent="0.25">
      <c r="A78" s="754"/>
      <c r="B78" s="737" t="s">
        <v>200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840">
        <v>0</v>
      </c>
      <c r="J78" s="131">
        <f t="shared" si="3"/>
        <v>0</v>
      </c>
      <c r="K78" s="875"/>
    </row>
    <row r="79" spans="1:11" ht="15" x14ac:dyDescent="0.25">
      <c r="A79" s="754"/>
      <c r="B79" s="737" t="s">
        <v>201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840">
        <v>0</v>
      </c>
      <c r="J79" s="131">
        <f t="shared" si="3"/>
        <v>0</v>
      </c>
      <c r="K79" s="875"/>
    </row>
    <row r="80" spans="1:11" ht="15" x14ac:dyDescent="0.25">
      <c r="A80" s="754"/>
      <c r="B80" s="737" t="s">
        <v>202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840">
        <v>0</v>
      </c>
      <c r="J80" s="131">
        <f t="shared" si="3"/>
        <v>0</v>
      </c>
      <c r="K80" s="875"/>
    </row>
    <row r="81" spans="1:12" ht="15" x14ac:dyDescent="0.25">
      <c r="A81" s="754"/>
      <c r="B81" s="737" t="s">
        <v>203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840">
        <v>0</v>
      </c>
      <c r="J81" s="131">
        <f t="shared" si="3"/>
        <v>0</v>
      </c>
      <c r="K81" s="875"/>
    </row>
    <row r="82" spans="1:12" ht="15" x14ac:dyDescent="0.25">
      <c r="A82" s="754"/>
      <c r="B82" s="737" t="s">
        <v>204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840">
        <v>0</v>
      </c>
      <c r="J82" s="131">
        <f t="shared" si="3"/>
        <v>0</v>
      </c>
      <c r="K82" s="875"/>
    </row>
    <row r="83" spans="1:12" ht="15" x14ac:dyDescent="0.25">
      <c r="A83" s="754"/>
      <c r="B83" s="737" t="s">
        <v>205</v>
      </c>
      <c r="C83" s="131">
        <v>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840">
        <v>0</v>
      </c>
      <c r="J83" s="131">
        <f t="shared" si="3"/>
        <v>0</v>
      </c>
      <c r="K83" s="875"/>
    </row>
    <row r="84" spans="1:12" x14ac:dyDescent="0.2">
      <c r="A84" s="754"/>
      <c r="B84" s="737" t="s">
        <v>206</v>
      </c>
      <c r="C84" s="131">
        <v>0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840">
        <v>0</v>
      </c>
      <c r="J84" s="131">
        <f t="shared" si="3"/>
        <v>0</v>
      </c>
      <c r="K84" s="252"/>
    </row>
    <row r="85" spans="1:12" x14ac:dyDescent="0.2">
      <c r="A85" s="754"/>
      <c r="B85" s="737" t="s">
        <v>207</v>
      </c>
      <c r="C85" s="131">
        <v>0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840">
        <v>0</v>
      </c>
      <c r="J85" s="131">
        <f t="shared" si="3"/>
        <v>0</v>
      </c>
      <c r="K85" s="252"/>
    </row>
    <row r="86" spans="1:12" ht="15" x14ac:dyDescent="0.25">
      <c r="A86" s="754"/>
      <c r="B86" s="737" t="s">
        <v>208</v>
      </c>
      <c r="C86" s="131">
        <v>0</v>
      </c>
      <c r="D86" s="131">
        <v>0</v>
      </c>
      <c r="E86" s="131">
        <v>0</v>
      </c>
      <c r="F86" s="131">
        <v>0</v>
      </c>
      <c r="G86" s="131">
        <v>0</v>
      </c>
      <c r="H86" s="131">
        <v>0</v>
      </c>
      <c r="I86" s="840">
        <v>0</v>
      </c>
      <c r="J86" s="131">
        <f t="shared" si="3"/>
        <v>0</v>
      </c>
      <c r="K86" s="875"/>
    </row>
    <row r="87" spans="1:12" ht="15" x14ac:dyDescent="0.25">
      <c r="A87" s="754"/>
      <c r="B87" s="737" t="s">
        <v>209</v>
      </c>
      <c r="C87" s="131">
        <v>0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840">
        <v>0</v>
      </c>
      <c r="J87" s="131">
        <f t="shared" si="3"/>
        <v>0</v>
      </c>
      <c r="K87" s="875"/>
    </row>
    <row r="88" spans="1:12" ht="15" x14ac:dyDescent="0.25">
      <c r="A88" s="754"/>
      <c r="B88" s="737" t="s">
        <v>210</v>
      </c>
      <c r="C88" s="131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840">
        <v>0</v>
      </c>
      <c r="J88" s="131">
        <f t="shared" si="3"/>
        <v>0</v>
      </c>
      <c r="K88" s="875"/>
      <c r="L88" s="723"/>
    </row>
    <row r="89" spans="1:12" ht="15" x14ac:dyDescent="0.25">
      <c r="A89" s="754"/>
      <c r="B89" s="737" t="s">
        <v>211</v>
      </c>
      <c r="C89" s="131">
        <v>0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840">
        <v>0</v>
      </c>
      <c r="J89" s="131">
        <f t="shared" si="3"/>
        <v>0</v>
      </c>
      <c r="K89" s="875"/>
      <c r="L89" s="723"/>
    </row>
    <row r="90" spans="1:12" ht="15" x14ac:dyDescent="0.25">
      <c r="A90" s="754"/>
      <c r="B90" s="737" t="s">
        <v>212</v>
      </c>
      <c r="C90" s="131">
        <v>0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840">
        <v>0</v>
      </c>
      <c r="J90" s="131">
        <f t="shared" si="3"/>
        <v>0</v>
      </c>
      <c r="K90" s="875"/>
      <c r="L90" s="723"/>
    </row>
    <row r="91" spans="1:12" ht="15" x14ac:dyDescent="0.25">
      <c r="A91" s="754"/>
      <c r="B91" s="737" t="s">
        <v>213</v>
      </c>
      <c r="C91" s="131">
        <v>0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840">
        <v>0</v>
      </c>
      <c r="J91" s="131">
        <f t="shared" si="3"/>
        <v>0</v>
      </c>
      <c r="K91" s="875"/>
      <c r="L91" s="723"/>
    </row>
    <row r="92" spans="1:12" x14ac:dyDescent="0.2">
      <c r="A92" s="754"/>
      <c r="B92" s="737" t="s">
        <v>214</v>
      </c>
      <c r="C92" s="131">
        <v>0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840">
        <v>0</v>
      </c>
      <c r="J92" s="131">
        <f t="shared" si="3"/>
        <v>0</v>
      </c>
      <c r="K92" s="252"/>
    </row>
    <row r="93" spans="1:12" x14ac:dyDescent="0.2">
      <c r="A93" s="754"/>
      <c r="B93" s="737" t="s">
        <v>215</v>
      </c>
      <c r="C93" s="131">
        <v>0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840">
        <v>0</v>
      </c>
      <c r="J93" s="131">
        <f t="shared" si="3"/>
        <v>0</v>
      </c>
      <c r="K93" s="252"/>
    </row>
    <row r="94" spans="1:12" x14ac:dyDescent="0.2">
      <c r="A94" s="754"/>
      <c r="B94" s="737" t="s">
        <v>216</v>
      </c>
      <c r="C94" s="131">
        <v>0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840">
        <v>0</v>
      </c>
      <c r="J94" s="131">
        <f t="shared" si="3"/>
        <v>0</v>
      </c>
      <c r="K94" s="252"/>
    </row>
    <row r="95" spans="1:12" x14ac:dyDescent="0.2">
      <c r="A95" s="754"/>
      <c r="B95" s="737" t="s">
        <v>217</v>
      </c>
      <c r="C95" s="131">
        <v>0</v>
      </c>
      <c r="D95" s="131">
        <v>0</v>
      </c>
      <c r="E95" s="131">
        <v>0</v>
      </c>
      <c r="F95" s="131">
        <v>0</v>
      </c>
      <c r="G95" s="131">
        <v>0</v>
      </c>
      <c r="H95" s="131">
        <v>0</v>
      </c>
      <c r="I95" s="840">
        <v>0</v>
      </c>
      <c r="J95" s="131">
        <f t="shared" si="3"/>
        <v>0</v>
      </c>
      <c r="K95" s="252"/>
    </row>
    <row r="96" spans="1:12" x14ac:dyDescent="0.2">
      <c r="A96" s="754"/>
      <c r="B96" s="737" t="s">
        <v>218</v>
      </c>
      <c r="C96" s="131">
        <v>0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840">
        <v>0</v>
      </c>
      <c r="J96" s="131">
        <f t="shared" si="3"/>
        <v>0</v>
      </c>
      <c r="K96" s="252"/>
    </row>
    <row r="97" spans="1:11" x14ac:dyDescent="0.2">
      <c r="A97" s="754"/>
      <c r="B97" s="737" t="s">
        <v>219</v>
      </c>
      <c r="C97" s="131">
        <v>0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840">
        <v>0</v>
      </c>
      <c r="J97" s="131">
        <f t="shared" si="3"/>
        <v>0</v>
      </c>
      <c r="K97" s="252"/>
    </row>
    <row r="98" spans="1:11" ht="15" x14ac:dyDescent="0.25">
      <c r="A98" s="876"/>
      <c r="B98" s="742" t="s">
        <v>220</v>
      </c>
      <c r="C98" s="131">
        <v>0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840">
        <v>0</v>
      </c>
      <c r="J98" s="131">
        <f t="shared" si="3"/>
        <v>0</v>
      </c>
      <c r="K98" s="875"/>
    </row>
    <row r="99" spans="1:11" ht="15" x14ac:dyDescent="0.25">
      <c r="A99" s="876"/>
      <c r="B99" s="742" t="s">
        <v>221</v>
      </c>
      <c r="C99" s="131">
        <v>0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840">
        <v>0</v>
      </c>
      <c r="J99" s="131">
        <f t="shared" si="3"/>
        <v>0</v>
      </c>
      <c r="K99" s="875"/>
    </row>
    <row r="100" spans="1:11" x14ac:dyDescent="0.2">
      <c r="A100" s="841" t="s">
        <v>10</v>
      </c>
      <c r="B100" s="842" t="s">
        <v>142</v>
      </c>
      <c r="C100" s="131"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840">
        <v>0</v>
      </c>
      <c r="J100" s="131">
        <f t="shared" si="3"/>
        <v>0</v>
      </c>
      <c r="K100" s="255"/>
    </row>
    <row r="101" spans="1:11" x14ac:dyDescent="0.2">
      <c r="A101" s="841" t="s">
        <v>10</v>
      </c>
      <c r="B101" s="842" t="s">
        <v>141</v>
      </c>
      <c r="C101" s="131">
        <v>0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840">
        <v>0</v>
      </c>
      <c r="J101" s="131">
        <f t="shared" si="3"/>
        <v>0</v>
      </c>
      <c r="K101" s="255"/>
    </row>
    <row r="102" spans="1:11" x14ac:dyDescent="0.2">
      <c r="A102" s="841" t="s">
        <v>33</v>
      </c>
      <c r="B102" s="842" t="s">
        <v>222</v>
      </c>
      <c r="C102" s="131">
        <v>0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840">
        <v>0</v>
      </c>
      <c r="J102" s="131">
        <f t="shared" si="3"/>
        <v>0</v>
      </c>
      <c r="K102" s="255"/>
    </row>
    <row r="103" spans="1:11" x14ac:dyDescent="0.2">
      <c r="A103" s="841" t="s">
        <v>10</v>
      </c>
      <c r="B103" s="842" t="s">
        <v>138</v>
      </c>
      <c r="C103" s="131">
        <v>0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840">
        <v>0</v>
      </c>
      <c r="J103" s="131">
        <f t="shared" si="3"/>
        <v>0</v>
      </c>
      <c r="K103" s="255"/>
    </row>
    <row r="104" spans="1:11" x14ac:dyDescent="0.2">
      <c r="A104" s="841" t="s">
        <v>10</v>
      </c>
      <c r="B104" s="842" t="s">
        <v>136</v>
      </c>
      <c r="C104" s="131">
        <v>0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840">
        <v>0</v>
      </c>
      <c r="J104" s="131">
        <f t="shared" si="3"/>
        <v>0</v>
      </c>
      <c r="K104" s="255"/>
    </row>
    <row r="105" spans="1:11" x14ac:dyDescent="0.2">
      <c r="A105" s="877"/>
      <c r="B105" s="737" t="s">
        <v>223</v>
      </c>
      <c r="C105" s="131">
        <v>0</v>
      </c>
      <c r="D105" s="131">
        <v>0</v>
      </c>
      <c r="E105" s="131">
        <v>0</v>
      </c>
      <c r="F105" s="131">
        <v>0</v>
      </c>
      <c r="G105" s="131">
        <v>0</v>
      </c>
      <c r="H105" s="131">
        <v>0</v>
      </c>
      <c r="I105" s="840">
        <v>0</v>
      </c>
      <c r="J105" s="131">
        <f t="shared" si="3"/>
        <v>0</v>
      </c>
      <c r="K105" s="252"/>
    </row>
    <row r="106" spans="1:11" x14ac:dyDescent="0.2">
      <c r="A106" s="877"/>
      <c r="B106" s="737" t="s">
        <v>224</v>
      </c>
      <c r="C106" s="131">
        <v>0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840">
        <v>0</v>
      </c>
      <c r="J106" s="131">
        <f t="shared" si="3"/>
        <v>0</v>
      </c>
      <c r="K106" s="252"/>
    </row>
    <row r="107" spans="1:11" x14ac:dyDescent="0.2">
      <c r="A107" s="877"/>
      <c r="B107" s="737" t="s">
        <v>225</v>
      </c>
      <c r="C107" s="131">
        <v>0</v>
      </c>
      <c r="D107" s="131">
        <v>0</v>
      </c>
      <c r="E107" s="131">
        <v>0</v>
      </c>
      <c r="F107" s="131">
        <v>0</v>
      </c>
      <c r="G107" s="131">
        <v>0</v>
      </c>
      <c r="H107" s="131">
        <v>0</v>
      </c>
      <c r="I107" s="840">
        <v>0</v>
      </c>
      <c r="J107" s="131">
        <f t="shared" si="3"/>
        <v>0</v>
      </c>
      <c r="K107" s="252"/>
    </row>
    <row r="108" spans="1:11" x14ac:dyDescent="0.2">
      <c r="A108" s="877"/>
      <c r="B108" s="737" t="s">
        <v>226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840">
        <v>0</v>
      </c>
      <c r="J108" s="131">
        <f t="shared" si="3"/>
        <v>0</v>
      </c>
      <c r="K108" s="252"/>
    </row>
    <row r="109" spans="1:11" ht="15" x14ac:dyDescent="0.25">
      <c r="A109" s="754"/>
      <c r="B109" s="737" t="s">
        <v>227</v>
      </c>
      <c r="C109" s="131">
        <v>0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840">
        <v>0</v>
      </c>
      <c r="J109" s="131">
        <f t="shared" si="3"/>
        <v>0</v>
      </c>
      <c r="K109" s="875"/>
    </row>
    <row r="110" spans="1:11" ht="15" x14ac:dyDescent="0.25">
      <c r="A110" s="754"/>
      <c r="B110" s="737" t="s">
        <v>228</v>
      </c>
      <c r="C110" s="131">
        <v>0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840">
        <v>0</v>
      </c>
      <c r="J110" s="131">
        <f t="shared" si="3"/>
        <v>0</v>
      </c>
      <c r="K110" s="875"/>
    </row>
    <row r="111" spans="1:11" ht="15" x14ac:dyDescent="0.25">
      <c r="A111" s="754"/>
      <c r="B111" s="737" t="s">
        <v>229</v>
      </c>
      <c r="C111" s="131">
        <v>0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840">
        <v>0</v>
      </c>
      <c r="J111" s="131">
        <f t="shared" si="3"/>
        <v>0</v>
      </c>
      <c r="K111" s="875"/>
    </row>
    <row r="112" spans="1:11" ht="15" x14ac:dyDescent="0.25">
      <c r="A112" s="754"/>
      <c r="B112" s="737" t="s">
        <v>230</v>
      </c>
      <c r="C112" s="131">
        <v>0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840">
        <v>0</v>
      </c>
      <c r="J112" s="131">
        <f t="shared" si="3"/>
        <v>0</v>
      </c>
      <c r="K112" s="875"/>
    </row>
    <row r="113" spans="1:11" ht="15" x14ac:dyDescent="0.25">
      <c r="A113" s="754"/>
      <c r="B113" s="737" t="s">
        <v>231</v>
      </c>
      <c r="C113" s="131">
        <v>0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840">
        <v>0</v>
      </c>
      <c r="J113" s="131">
        <f t="shared" si="3"/>
        <v>0</v>
      </c>
      <c r="K113" s="875"/>
    </row>
    <row r="114" spans="1:11" ht="15" x14ac:dyDescent="0.25">
      <c r="A114" s="754"/>
      <c r="B114" s="737" t="s">
        <v>232</v>
      </c>
      <c r="C114" s="131">
        <v>0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840">
        <v>0</v>
      </c>
      <c r="J114" s="131">
        <f t="shared" si="3"/>
        <v>0</v>
      </c>
      <c r="K114" s="875"/>
    </row>
    <row r="115" spans="1:11" ht="15" x14ac:dyDescent="0.25">
      <c r="A115" s="754"/>
      <c r="B115" s="737" t="s">
        <v>233</v>
      </c>
      <c r="C115" s="131">
        <v>0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840">
        <v>0</v>
      </c>
      <c r="J115" s="131">
        <f t="shared" si="3"/>
        <v>0</v>
      </c>
      <c r="K115" s="875"/>
    </row>
    <row r="116" spans="1:11" ht="15" x14ac:dyDescent="0.25">
      <c r="A116" s="754"/>
      <c r="B116" s="737" t="s">
        <v>234</v>
      </c>
      <c r="C116" s="131">
        <v>0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840">
        <v>0</v>
      </c>
      <c r="J116" s="131">
        <f t="shared" si="3"/>
        <v>0</v>
      </c>
      <c r="K116" s="875"/>
    </row>
    <row r="117" spans="1:11" ht="15" x14ac:dyDescent="0.25">
      <c r="A117" s="754"/>
      <c r="B117" s="737" t="s">
        <v>9</v>
      </c>
      <c r="C117" s="131">
        <v>0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840">
        <v>0</v>
      </c>
      <c r="J117" s="131">
        <f t="shared" si="3"/>
        <v>0</v>
      </c>
      <c r="K117" s="875"/>
    </row>
    <row r="118" spans="1:11" ht="15" x14ac:dyDescent="0.25">
      <c r="A118" s="754"/>
      <c r="B118" s="737" t="s">
        <v>235</v>
      </c>
      <c r="C118" s="131">
        <v>0</v>
      </c>
      <c r="D118" s="131">
        <v>0</v>
      </c>
      <c r="E118" s="131">
        <v>0</v>
      </c>
      <c r="F118" s="131">
        <v>0</v>
      </c>
      <c r="G118" s="131">
        <v>0</v>
      </c>
      <c r="H118" s="131">
        <v>0</v>
      </c>
      <c r="I118" s="840">
        <v>0</v>
      </c>
      <c r="J118" s="131">
        <f t="shared" si="3"/>
        <v>0</v>
      </c>
      <c r="K118" s="875"/>
    </row>
    <row r="119" spans="1:11" ht="15" x14ac:dyDescent="0.25">
      <c r="A119" s="754"/>
      <c r="B119" s="737" t="s">
        <v>236</v>
      </c>
      <c r="C119" s="131">
        <v>0</v>
      </c>
      <c r="D119" s="131">
        <v>0</v>
      </c>
      <c r="E119" s="131">
        <v>0</v>
      </c>
      <c r="F119" s="131">
        <v>0</v>
      </c>
      <c r="G119" s="131">
        <v>0</v>
      </c>
      <c r="H119" s="131">
        <v>0</v>
      </c>
      <c r="I119" s="840">
        <v>0</v>
      </c>
      <c r="J119" s="131">
        <f t="shared" si="3"/>
        <v>0</v>
      </c>
      <c r="K119" s="875"/>
    </row>
    <row r="120" spans="1:11" ht="15" x14ac:dyDescent="0.25">
      <c r="A120" s="754"/>
      <c r="B120" s="737" t="s">
        <v>237</v>
      </c>
      <c r="C120" s="131">
        <v>0</v>
      </c>
      <c r="D120" s="131">
        <v>0</v>
      </c>
      <c r="E120" s="131">
        <v>0</v>
      </c>
      <c r="F120" s="131">
        <v>0</v>
      </c>
      <c r="G120" s="131">
        <v>0</v>
      </c>
      <c r="H120" s="131">
        <v>0</v>
      </c>
      <c r="I120" s="840">
        <v>0</v>
      </c>
      <c r="J120" s="131">
        <f t="shared" si="3"/>
        <v>0</v>
      </c>
      <c r="K120" s="875"/>
    </row>
    <row r="121" spans="1:11" ht="15" x14ac:dyDescent="0.25">
      <c r="A121" s="754"/>
      <c r="B121" s="737" t="s">
        <v>238</v>
      </c>
      <c r="C121" s="131">
        <v>0</v>
      </c>
      <c r="D121" s="131">
        <v>0</v>
      </c>
      <c r="E121" s="131">
        <v>0</v>
      </c>
      <c r="F121" s="131">
        <v>0</v>
      </c>
      <c r="G121" s="131">
        <v>0</v>
      </c>
      <c r="H121" s="131">
        <v>0</v>
      </c>
      <c r="I121" s="840">
        <v>0</v>
      </c>
      <c r="J121" s="131">
        <f t="shared" si="3"/>
        <v>0</v>
      </c>
      <c r="K121" s="875"/>
    </row>
    <row r="122" spans="1:11" ht="15" x14ac:dyDescent="0.25">
      <c r="A122" s="876"/>
      <c r="B122" s="742" t="s">
        <v>239</v>
      </c>
      <c r="C122" s="131">
        <v>0</v>
      </c>
      <c r="D122" s="131">
        <v>0</v>
      </c>
      <c r="E122" s="131">
        <v>0</v>
      </c>
      <c r="F122" s="131">
        <v>0</v>
      </c>
      <c r="G122" s="131">
        <v>0</v>
      </c>
      <c r="H122" s="131">
        <v>0</v>
      </c>
      <c r="I122" s="840">
        <v>0</v>
      </c>
      <c r="J122" s="131">
        <f t="shared" si="3"/>
        <v>0</v>
      </c>
      <c r="K122" s="875"/>
    </row>
    <row r="123" spans="1:11" ht="15" x14ac:dyDescent="0.25">
      <c r="A123" s="876"/>
      <c r="B123" s="742" t="s">
        <v>240</v>
      </c>
      <c r="C123" s="131">
        <v>0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840">
        <v>0</v>
      </c>
      <c r="J123" s="131">
        <f t="shared" si="3"/>
        <v>0</v>
      </c>
      <c r="K123" s="875"/>
    </row>
    <row r="124" spans="1:11" ht="15" x14ac:dyDescent="0.25">
      <c r="A124" s="876"/>
      <c r="B124" s="742" t="s">
        <v>241</v>
      </c>
      <c r="C124" s="131">
        <v>0</v>
      </c>
      <c r="D124" s="131">
        <v>0</v>
      </c>
      <c r="E124" s="131">
        <v>0</v>
      </c>
      <c r="F124" s="131">
        <v>0</v>
      </c>
      <c r="G124" s="131">
        <v>0</v>
      </c>
      <c r="H124" s="131">
        <v>0</v>
      </c>
      <c r="I124" s="840">
        <v>0</v>
      </c>
      <c r="J124" s="131">
        <f t="shared" si="3"/>
        <v>0</v>
      </c>
      <c r="K124" s="875"/>
    </row>
    <row r="125" spans="1:11" ht="15" x14ac:dyDescent="0.25">
      <c r="A125" s="878"/>
      <c r="B125" s="870" t="s">
        <v>242</v>
      </c>
      <c r="C125" s="131">
        <v>0</v>
      </c>
      <c r="D125" s="131">
        <v>0</v>
      </c>
      <c r="E125" s="131">
        <v>0</v>
      </c>
      <c r="F125" s="131">
        <v>0</v>
      </c>
      <c r="G125" s="131">
        <v>0</v>
      </c>
      <c r="H125" s="131">
        <v>0</v>
      </c>
      <c r="I125" s="840">
        <v>0</v>
      </c>
      <c r="J125" s="131">
        <f t="shared" si="3"/>
        <v>0</v>
      </c>
      <c r="K125" s="875"/>
    </row>
    <row r="126" spans="1:11" ht="15" x14ac:dyDescent="0.25">
      <c r="A126" s="876"/>
      <c r="B126" s="742" t="s">
        <v>243</v>
      </c>
      <c r="C126" s="131">
        <v>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840">
        <v>0</v>
      </c>
      <c r="J126" s="131">
        <f t="shared" si="3"/>
        <v>0</v>
      </c>
      <c r="K126" s="875"/>
    </row>
    <row r="127" spans="1:11" ht="15" x14ac:dyDescent="0.25">
      <c r="A127" s="876"/>
      <c r="B127" s="742" t="s">
        <v>244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840">
        <v>0</v>
      </c>
      <c r="J127" s="131">
        <f t="shared" si="3"/>
        <v>0</v>
      </c>
      <c r="K127" s="875"/>
    </row>
    <row r="128" spans="1:11" ht="15" x14ac:dyDescent="0.25">
      <c r="A128" s="879" t="s">
        <v>245</v>
      </c>
      <c r="B128" s="880"/>
      <c r="C128" s="131"/>
      <c r="D128" s="131"/>
      <c r="E128" s="131"/>
      <c r="F128" s="131"/>
      <c r="G128" s="131"/>
      <c r="H128" s="131"/>
      <c r="I128" s="840"/>
      <c r="J128" s="131"/>
      <c r="K128" s="875"/>
    </row>
    <row r="129" spans="1:11" ht="15" x14ac:dyDescent="0.25">
      <c r="A129" s="754"/>
      <c r="B129" s="737" t="s">
        <v>246</v>
      </c>
      <c r="C129" s="131">
        <v>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840">
        <v>0</v>
      </c>
      <c r="J129" s="131">
        <f t="shared" si="3"/>
        <v>0</v>
      </c>
      <c r="K129" s="875"/>
    </row>
    <row r="130" spans="1:11" x14ac:dyDescent="0.2">
      <c r="A130" s="876"/>
      <c r="B130" s="742" t="s">
        <v>247</v>
      </c>
      <c r="C130" s="131">
        <v>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840">
        <v>0</v>
      </c>
      <c r="J130" s="131">
        <f t="shared" si="3"/>
        <v>0</v>
      </c>
      <c r="K130" s="252"/>
    </row>
    <row r="131" spans="1:11" x14ac:dyDescent="0.2">
      <c r="A131" s="754"/>
      <c r="B131" s="737" t="s">
        <v>248</v>
      </c>
      <c r="C131" s="131">
        <v>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840">
        <v>0</v>
      </c>
      <c r="J131" s="131">
        <f t="shared" si="3"/>
        <v>0</v>
      </c>
      <c r="K131" s="252"/>
    </row>
    <row r="132" spans="1:11" x14ac:dyDescent="0.2">
      <c r="A132" s="754"/>
      <c r="B132" s="737" t="s">
        <v>249</v>
      </c>
      <c r="C132" s="131">
        <v>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840">
        <v>0</v>
      </c>
      <c r="J132" s="131">
        <f t="shared" ref="J132:J147" si="4">SUM(C132:I132)</f>
        <v>0</v>
      </c>
      <c r="K132" s="252"/>
    </row>
    <row r="133" spans="1:11" x14ac:dyDescent="0.2">
      <c r="A133" s="754"/>
      <c r="B133" s="737" t="s">
        <v>250</v>
      </c>
      <c r="C133" s="131">
        <v>0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840">
        <v>0</v>
      </c>
      <c r="J133" s="131">
        <f t="shared" si="4"/>
        <v>0</v>
      </c>
      <c r="K133" s="734"/>
    </row>
    <row r="134" spans="1:11" x14ac:dyDescent="0.2">
      <c r="A134" s="754"/>
      <c r="B134" s="737" t="s">
        <v>251</v>
      </c>
      <c r="C134" s="131">
        <v>0</v>
      </c>
      <c r="D134" s="131">
        <v>0</v>
      </c>
      <c r="E134" s="131">
        <v>0</v>
      </c>
      <c r="F134" s="131">
        <v>0</v>
      </c>
      <c r="G134" s="131">
        <v>0</v>
      </c>
      <c r="H134" s="131">
        <v>0</v>
      </c>
      <c r="I134" s="840">
        <v>0</v>
      </c>
      <c r="J134" s="131">
        <f t="shared" si="4"/>
        <v>0</v>
      </c>
      <c r="K134" s="734"/>
    </row>
    <row r="135" spans="1:11" x14ac:dyDescent="0.2">
      <c r="A135" s="754"/>
      <c r="B135" s="737" t="s">
        <v>252</v>
      </c>
      <c r="C135" s="131">
        <v>0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840">
        <v>0</v>
      </c>
      <c r="J135" s="131">
        <f t="shared" si="4"/>
        <v>0</v>
      </c>
      <c r="K135" s="734"/>
    </row>
    <row r="136" spans="1:11" x14ac:dyDescent="0.2">
      <c r="A136" s="754"/>
      <c r="B136" s="737" t="s">
        <v>253</v>
      </c>
      <c r="C136" s="131">
        <v>0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840">
        <v>0</v>
      </c>
      <c r="J136" s="131">
        <f t="shared" si="4"/>
        <v>0</v>
      </c>
      <c r="K136" s="734"/>
    </row>
    <row r="137" spans="1:11" x14ac:dyDescent="0.2">
      <c r="A137" s="754"/>
      <c r="B137" s="737" t="s">
        <v>254</v>
      </c>
      <c r="C137" s="131">
        <v>0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840">
        <v>0</v>
      </c>
      <c r="J137" s="131">
        <f t="shared" si="4"/>
        <v>0</v>
      </c>
      <c r="K137" s="734"/>
    </row>
    <row r="138" spans="1:11" x14ac:dyDescent="0.2">
      <c r="A138" s="754"/>
      <c r="B138" s="737" t="s">
        <v>255</v>
      </c>
      <c r="C138" s="131">
        <v>0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  <c r="I138" s="840">
        <v>0</v>
      </c>
      <c r="J138" s="131">
        <f t="shared" si="4"/>
        <v>0</v>
      </c>
      <c r="K138" s="734"/>
    </row>
    <row r="139" spans="1:11" x14ac:dyDescent="0.2">
      <c r="A139" s="754"/>
      <c r="B139" s="737" t="s">
        <v>256</v>
      </c>
      <c r="C139" s="131">
        <v>0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840">
        <v>0</v>
      </c>
      <c r="J139" s="131">
        <f t="shared" si="4"/>
        <v>0</v>
      </c>
      <c r="K139" s="734"/>
    </row>
    <row r="140" spans="1:11" x14ac:dyDescent="0.2">
      <c r="A140" s="754"/>
      <c r="B140" s="737" t="s">
        <v>257</v>
      </c>
      <c r="C140" s="131">
        <v>0</v>
      </c>
      <c r="D140" s="131">
        <v>0</v>
      </c>
      <c r="E140" s="131">
        <v>0</v>
      </c>
      <c r="F140" s="131">
        <v>0</v>
      </c>
      <c r="G140" s="131">
        <v>0</v>
      </c>
      <c r="H140" s="131">
        <v>0</v>
      </c>
      <c r="I140" s="840">
        <v>0</v>
      </c>
      <c r="J140" s="131">
        <f t="shared" si="4"/>
        <v>0</v>
      </c>
      <c r="K140" s="734"/>
    </row>
    <row r="141" spans="1:11" x14ac:dyDescent="0.2">
      <c r="A141" s="754"/>
      <c r="B141" s="737" t="s">
        <v>258</v>
      </c>
      <c r="C141" s="131">
        <v>0</v>
      </c>
      <c r="D141" s="131">
        <v>0</v>
      </c>
      <c r="E141" s="131">
        <v>0</v>
      </c>
      <c r="F141" s="131">
        <v>0</v>
      </c>
      <c r="G141" s="131">
        <v>0</v>
      </c>
      <c r="H141" s="131">
        <v>0</v>
      </c>
      <c r="I141" s="840">
        <v>0</v>
      </c>
      <c r="J141" s="131">
        <f t="shared" si="4"/>
        <v>0</v>
      </c>
      <c r="K141" s="734"/>
    </row>
    <row r="142" spans="1:11" x14ac:dyDescent="0.2">
      <c r="A142" s="754"/>
      <c r="B142" s="737" t="s">
        <v>259</v>
      </c>
      <c r="C142" s="131">
        <v>0</v>
      </c>
      <c r="D142" s="131">
        <v>0</v>
      </c>
      <c r="E142" s="131">
        <v>0</v>
      </c>
      <c r="F142" s="131">
        <v>0</v>
      </c>
      <c r="G142" s="131">
        <v>0</v>
      </c>
      <c r="H142" s="131">
        <v>0</v>
      </c>
      <c r="I142" s="840">
        <v>0</v>
      </c>
      <c r="J142" s="131">
        <f t="shared" si="4"/>
        <v>0</v>
      </c>
      <c r="K142" s="734"/>
    </row>
    <row r="143" spans="1:11" x14ac:dyDescent="0.2">
      <c r="A143" s="754"/>
      <c r="B143" s="737" t="s">
        <v>260</v>
      </c>
      <c r="C143" s="131">
        <v>0</v>
      </c>
      <c r="D143" s="131">
        <v>0</v>
      </c>
      <c r="E143" s="131">
        <v>0</v>
      </c>
      <c r="F143" s="131">
        <v>0</v>
      </c>
      <c r="G143" s="131">
        <v>0</v>
      </c>
      <c r="H143" s="131">
        <v>0</v>
      </c>
      <c r="I143" s="840">
        <v>0</v>
      </c>
      <c r="J143" s="131">
        <f t="shared" si="4"/>
        <v>0</v>
      </c>
      <c r="K143" s="734"/>
    </row>
    <row r="144" spans="1:11" ht="15.75" thickBot="1" x14ac:dyDescent="0.3">
      <c r="A144" s="881" t="s">
        <v>456</v>
      </c>
      <c r="B144" s="882"/>
      <c r="C144" s="883">
        <f>SUM(C55:C143)</f>
        <v>0</v>
      </c>
      <c r="D144" s="883">
        <f t="shared" ref="D144:H144" si="5">SUM(D55:D143)</f>
        <v>0</v>
      </c>
      <c r="E144" s="883">
        <f t="shared" si="5"/>
        <v>0</v>
      </c>
      <c r="F144" s="883">
        <f t="shared" si="5"/>
        <v>0</v>
      </c>
      <c r="G144" s="883">
        <f t="shared" si="5"/>
        <v>0</v>
      </c>
      <c r="H144" s="883">
        <f t="shared" si="5"/>
        <v>0</v>
      </c>
      <c r="I144" s="884">
        <f>SUM(I55:I143)</f>
        <v>0</v>
      </c>
      <c r="J144" s="885">
        <f t="shared" si="4"/>
        <v>0</v>
      </c>
      <c r="K144" s="886"/>
    </row>
    <row r="145" spans="1:10" ht="18.75" customHeight="1" thickBot="1" x14ac:dyDescent="0.3">
      <c r="A145" s="871" t="s">
        <v>457</v>
      </c>
      <c r="B145" s="872"/>
      <c r="C145" s="873">
        <f>C54+C144</f>
        <v>0</v>
      </c>
      <c r="D145" s="873">
        <f t="shared" ref="D145:I145" si="6">D54+D144</f>
        <v>0</v>
      </c>
      <c r="E145" s="873">
        <f t="shared" si="6"/>
        <v>0</v>
      </c>
      <c r="F145" s="873">
        <f t="shared" si="6"/>
        <v>0</v>
      </c>
      <c r="G145" s="873">
        <f t="shared" si="6"/>
        <v>0</v>
      </c>
      <c r="H145" s="873">
        <f t="shared" si="6"/>
        <v>0</v>
      </c>
      <c r="I145" s="874">
        <f t="shared" si="6"/>
        <v>0</v>
      </c>
      <c r="J145" s="864">
        <f t="shared" si="4"/>
        <v>0</v>
      </c>
    </row>
    <row r="146" spans="1:10" ht="19.5" customHeight="1" x14ac:dyDescent="0.25">
      <c r="A146" s="887" t="s">
        <v>108</v>
      </c>
      <c r="B146" s="888" t="s">
        <v>458</v>
      </c>
      <c r="C146" s="889">
        <v>0</v>
      </c>
      <c r="D146" s="889">
        <v>0</v>
      </c>
      <c r="E146" s="889">
        <v>0</v>
      </c>
      <c r="F146" s="889">
        <v>0</v>
      </c>
      <c r="G146" s="889">
        <v>0</v>
      </c>
      <c r="H146" s="889">
        <v>0</v>
      </c>
      <c r="I146" s="890">
        <v>0</v>
      </c>
      <c r="J146" s="178">
        <f t="shared" si="4"/>
        <v>0</v>
      </c>
    </row>
    <row r="147" spans="1:10" ht="21.75" customHeight="1" thickBot="1" x14ac:dyDescent="0.3">
      <c r="A147" s="891" t="s">
        <v>459</v>
      </c>
      <c r="B147" s="745"/>
      <c r="C147" s="892">
        <f>C145+C146</f>
        <v>0</v>
      </c>
      <c r="D147" s="892">
        <f t="shared" ref="D147:I147" si="7">D145+D146</f>
        <v>0</v>
      </c>
      <c r="E147" s="892">
        <f t="shared" si="7"/>
        <v>0</v>
      </c>
      <c r="F147" s="892">
        <f t="shared" si="7"/>
        <v>0</v>
      </c>
      <c r="G147" s="892">
        <f t="shared" si="7"/>
        <v>0</v>
      </c>
      <c r="H147" s="892">
        <f t="shared" si="7"/>
        <v>0</v>
      </c>
      <c r="I147" s="892">
        <f t="shared" si="7"/>
        <v>0</v>
      </c>
      <c r="J147" s="892">
        <f t="shared" si="4"/>
        <v>0</v>
      </c>
    </row>
    <row r="148" spans="1:10" ht="15" thickTop="1" x14ac:dyDescent="0.2">
      <c r="A148" s="893"/>
      <c r="B148" s="820"/>
      <c r="C148" s="894"/>
      <c r="D148" s="894"/>
      <c r="E148" s="894"/>
      <c r="F148" s="894"/>
      <c r="G148" s="894"/>
      <c r="H148" s="894"/>
      <c r="I148" s="894"/>
      <c r="J148" s="894"/>
    </row>
    <row r="149" spans="1:10" x14ac:dyDescent="0.2">
      <c r="A149" s="895"/>
      <c r="B149" s="821" t="str">
        <f>'PCFP - All Revenue AA-1 R-11'!C81</f>
        <v>Test District</v>
      </c>
      <c r="C149" s="894" t="s">
        <v>428</v>
      </c>
      <c r="D149" s="894"/>
      <c r="E149" s="896"/>
      <c r="F149" s="896"/>
      <c r="G149" s="896"/>
      <c r="H149" s="894"/>
      <c r="J149" s="898" t="str">
        <f>"Budget Fiscal Year "&amp;TEXT('[11]Form 1'!$C$136, "mm/dd/yy")</f>
        <v>Budget Fiscal Year 2019-2020</v>
      </c>
    </row>
    <row r="150" spans="1:10" x14ac:dyDescent="0.2">
      <c r="A150" s="899"/>
      <c r="B150" s="823" t="s">
        <v>460</v>
      </c>
      <c r="C150" s="894" t="s">
        <v>430</v>
      </c>
      <c r="D150" s="894"/>
      <c r="E150" s="894"/>
      <c r="F150" s="894"/>
      <c r="G150" s="894"/>
      <c r="H150" s="894"/>
      <c r="J150" s="900" t="s">
        <v>461</v>
      </c>
    </row>
    <row r="151" spans="1:10" x14ac:dyDescent="0.2">
      <c r="H151" s="900"/>
      <c r="I151" s="900"/>
      <c r="J151" s="821"/>
    </row>
  </sheetData>
  <pageMargins left="0.55000000000000004" right="0" top="0.5" bottom="0.25" header="0.5" footer="0"/>
  <pageSetup scale="43" fitToHeight="3" orientation="landscape" r:id="rId1"/>
  <headerFooter alignWithMargins="0">
    <oddFooter>&amp;C&amp;8FORM 4405LGF
Last Revised &amp;D</oddFooter>
  </headerFooter>
  <rowBreaks count="1" manualBreakCount="1">
    <brk id="53" max="10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1D094-E463-42C2-90AC-DC9A41A7D88D}">
  <dimension ref="A2:I17"/>
  <sheetViews>
    <sheetView showGridLines="0" workbookViewId="0">
      <selection activeCell="K42" sqref="K42"/>
    </sheetView>
  </sheetViews>
  <sheetFormatPr defaultRowHeight="12.75" x14ac:dyDescent="0.2"/>
  <sheetData>
    <row r="2" spans="1:9" ht="18" x14ac:dyDescent="0.25">
      <c r="A2" s="6" t="s">
        <v>674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3819-104D-43F4-B7A1-21A7FE162C1F}">
  <sheetPr>
    <tabColor rgb="FFFF0000"/>
  </sheetPr>
  <dimension ref="A1:I85"/>
  <sheetViews>
    <sheetView showGridLines="0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62" customWidth="1"/>
    <col min="2" max="2" width="12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26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310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312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325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/>
      <c r="I6" s="92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/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6541155</v>
      </c>
      <c r="I8" s="92"/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/>
      <c r="I9" s="92"/>
    </row>
    <row r="10" spans="1:9" hidden="1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/>
      <c r="I10" s="92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91"/>
      <c r="I11" s="92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0</v>
      </c>
      <c r="G12" s="90">
        <v>0</v>
      </c>
      <c r="H12" s="91"/>
      <c r="I12" s="92"/>
    </row>
    <row r="13" spans="1:9" hidden="1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0</v>
      </c>
      <c r="G13" s="90">
        <v>0</v>
      </c>
      <c r="H13" s="91"/>
      <c r="I13" s="92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/>
      <c r="I14" s="92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91">
        <v>717347</v>
      </c>
      <c r="I15" s="92"/>
    </row>
    <row r="16" spans="1:9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0</v>
      </c>
      <c r="G16" s="90">
        <v>0</v>
      </c>
      <c r="H16" s="91">
        <v>26000</v>
      </c>
      <c r="I16" s="92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/>
      <c r="I17" s="92"/>
    </row>
    <row r="18" spans="1:9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0</v>
      </c>
      <c r="G18" s="90">
        <v>0</v>
      </c>
      <c r="H18" s="91">
        <v>30100</v>
      </c>
      <c r="I18" s="92"/>
    </row>
    <row r="19" spans="1:9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>
        <v>0</v>
      </c>
      <c r="G19" s="90">
        <v>0</v>
      </c>
      <c r="H19" s="91">
        <v>150000</v>
      </c>
      <c r="I19" s="92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0</v>
      </c>
      <c r="G20" s="90">
        <v>0</v>
      </c>
      <c r="H20" s="91">
        <v>200000</v>
      </c>
      <c r="I20" s="92"/>
    </row>
    <row r="21" spans="1:9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>
        <v>0</v>
      </c>
      <c r="G21" s="90">
        <v>0</v>
      </c>
      <c r="H21" s="91">
        <v>55000</v>
      </c>
      <c r="I21" s="92"/>
    </row>
    <row r="22" spans="1:9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0</v>
      </c>
      <c r="G22" s="90">
        <v>0</v>
      </c>
      <c r="H22" s="91">
        <v>355000</v>
      </c>
      <c r="I22" s="92"/>
    </row>
    <row r="23" spans="1:9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>
        <v>0</v>
      </c>
      <c r="G23" s="90">
        <v>0</v>
      </c>
      <c r="H23" s="91">
        <v>45000</v>
      </c>
      <c r="I23" s="92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/>
      <c r="I24" s="92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/>
      <c r="I25" s="92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/>
      <c r="I26" s="92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/>
      <c r="I27" s="92"/>
    </row>
    <row r="28" spans="1:9" hidden="1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>
        <v>0</v>
      </c>
      <c r="G28" s="90">
        <v>0</v>
      </c>
      <c r="H28" s="91"/>
      <c r="I28" s="92"/>
    </row>
    <row r="29" spans="1:9" hidden="1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>
        <v>0</v>
      </c>
      <c r="G29" s="90">
        <v>0</v>
      </c>
      <c r="H29" s="91"/>
      <c r="I29" s="92"/>
    </row>
    <row r="30" spans="1:9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0</v>
      </c>
      <c r="G30" s="90">
        <v>0</v>
      </c>
      <c r="H30" s="91">
        <v>200000</v>
      </c>
      <c r="I30" s="92"/>
    </row>
    <row r="31" spans="1:9" hidden="1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0</v>
      </c>
      <c r="G31" s="90">
        <v>0</v>
      </c>
      <c r="H31" s="91"/>
      <c r="I31" s="92"/>
    </row>
    <row r="32" spans="1:9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0</v>
      </c>
      <c r="G32" s="90">
        <v>0</v>
      </c>
      <c r="H32" s="91">
        <v>1929925</v>
      </c>
      <c r="I32" s="92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0</v>
      </c>
      <c r="G33" s="104">
        <f>SUM(G6:G32)</f>
        <v>0</v>
      </c>
      <c r="H33" s="106">
        <f>SUM(H6:H32)</f>
        <v>10249527</v>
      </c>
      <c r="I33" s="107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112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113">
        <v>0</v>
      </c>
      <c r="G35" s="114">
        <v>0</v>
      </c>
      <c r="H35" s="115">
        <v>0</v>
      </c>
      <c r="I35" s="92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119">
        <v>54962484.243225038</v>
      </c>
      <c r="G36" s="114">
        <v>0</v>
      </c>
      <c r="H36" s="115">
        <v>0</v>
      </c>
      <c r="I36" s="12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113">
        <v>0</v>
      </c>
      <c r="G37" s="114">
        <v>0</v>
      </c>
      <c r="H37" s="115">
        <v>0</v>
      </c>
      <c r="I37" s="92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119">
        <v>11163981.046645675</v>
      </c>
      <c r="G38" s="114">
        <v>0</v>
      </c>
      <c r="H38" s="115">
        <v>0</v>
      </c>
      <c r="I38" s="12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119">
        <v>1551173.1752821857</v>
      </c>
      <c r="G39" s="114">
        <v>0</v>
      </c>
      <c r="H39" s="115">
        <v>0</v>
      </c>
      <c r="I39" s="92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119">
        <v>1231048.6920490272</v>
      </c>
      <c r="G40" s="114">
        <v>0</v>
      </c>
      <c r="H40" s="115">
        <v>0</v>
      </c>
      <c r="I40" s="92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119">
        <v>1003151.4575082507</v>
      </c>
      <c r="G41" s="114">
        <v>0</v>
      </c>
      <c r="H41" s="115">
        <v>0</v>
      </c>
      <c r="I41" s="92"/>
    </row>
    <row r="42" spans="1:9" s="130" customFormat="1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127">
        <v>0</v>
      </c>
      <c r="G42" s="128">
        <v>0</v>
      </c>
      <c r="H42" s="115">
        <v>1854659</v>
      </c>
      <c r="I42" s="129"/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113">
        <v>0</v>
      </c>
      <c r="G43" s="114">
        <v>0</v>
      </c>
      <c r="H43" s="115">
        <v>0</v>
      </c>
      <c r="I43" s="92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119">
        <v>3009930</v>
      </c>
      <c r="G44" s="114">
        <v>0</v>
      </c>
      <c r="H44" s="115">
        <v>0</v>
      </c>
      <c r="I44" s="92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131">
        <v>0</v>
      </c>
      <c r="G45" s="114">
        <v>0</v>
      </c>
      <c r="H45" s="115">
        <v>1336667</v>
      </c>
      <c r="I45" s="92"/>
    </row>
    <row r="46" spans="1:9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113">
        <v>0</v>
      </c>
      <c r="G46" s="114">
        <v>0</v>
      </c>
      <c r="H46" s="115">
        <v>0</v>
      </c>
      <c r="I46" s="92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131">
        <v>0</v>
      </c>
      <c r="G47" s="114">
        <v>0</v>
      </c>
      <c r="H47" s="115">
        <v>0</v>
      </c>
      <c r="I47" s="133"/>
    </row>
    <row r="48" spans="1:9" hidden="1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131">
        <v>0</v>
      </c>
      <c r="G48" s="114">
        <v>0</v>
      </c>
      <c r="H48" s="115">
        <v>0</v>
      </c>
      <c r="I48" s="92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72921768.614710167</v>
      </c>
      <c r="G49" s="104">
        <f>SUM(G34:G48)</f>
        <v>0</v>
      </c>
      <c r="H49" s="106">
        <f>SUM(H34:H48)</f>
        <v>3191326</v>
      </c>
      <c r="I49" s="107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112"/>
    </row>
    <row r="51" spans="1:9" hidden="1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0</v>
      </c>
      <c r="G51" s="143">
        <v>0</v>
      </c>
      <c r="H51" s="111"/>
      <c r="I51" s="92"/>
    </row>
    <row r="52" spans="1:9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 t="s">
        <v>393</v>
      </c>
      <c r="G52" s="143" t="s">
        <v>394</v>
      </c>
      <c r="H52" s="111">
        <v>5000</v>
      </c>
      <c r="I52" s="92"/>
    </row>
    <row r="53" spans="1:9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 t="s">
        <v>393</v>
      </c>
      <c r="G53" s="143" t="s">
        <v>394</v>
      </c>
      <c r="H53" s="111">
        <v>1000000</v>
      </c>
      <c r="I53" s="92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 t="s">
        <v>393</v>
      </c>
      <c r="G54" s="143" t="s">
        <v>394</v>
      </c>
      <c r="H54" s="111">
        <v>8585000</v>
      </c>
      <c r="I54" s="92"/>
    </row>
    <row r="55" spans="1:9" hidden="1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/>
      <c r="G55" s="143"/>
      <c r="H55" s="111"/>
      <c r="I55" s="92"/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/>
      <c r="G56" s="143"/>
      <c r="H56" s="111"/>
      <c r="I56" s="92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0</v>
      </c>
      <c r="G57" s="104">
        <f t="shared" si="0"/>
        <v>0</v>
      </c>
      <c r="H57" s="106">
        <f t="shared" si="0"/>
        <v>9590000</v>
      </c>
      <c r="I57" s="107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/>
      <c r="I58" s="112"/>
    </row>
    <row r="59" spans="1:9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/>
      <c r="G59" s="143"/>
      <c r="H59" s="111"/>
      <c r="I59" s="92"/>
    </row>
    <row r="60" spans="1:9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 t="s">
        <v>393</v>
      </c>
      <c r="G60" s="143" t="s">
        <v>394</v>
      </c>
      <c r="H60" s="111">
        <v>20000000</v>
      </c>
      <c r="I60" s="92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/>
      <c r="G61" s="143"/>
      <c r="H61" s="111"/>
      <c r="I61" s="92"/>
    </row>
    <row r="62" spans="1:9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52" t="s">
        <v>393</v>
      </c>
      <c r="G62" s="143" t="s">
        <v>394</v>
      </c>
      <c r="H62" s="111">
        <v>653770</v>
      </c>
      <c r="I62" s="92"/>
    </row>
    <row r="63" spans="1:9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 t="s">
        <v>393</v>
      </c>
      <c r="G63" s="143" t="s">
        <v>394</v>
      </c>
      <c r="H63" s="111">
        <v>5000</v>
      </c>
      <c r="I63" s="92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/>
      <c r="G64" s="143"/>
      <c r="H64" s="111"/>
      <c r="I64" s="92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/>
      <c r="G65" s="143"/>
      <c r="H65" s="111"/>
      <c r="I65" s="92"/>
    </row>
    <row r="66" spans="1:9" hidden="1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/>
      <c r="G66" s="143"/>
      <c r="H66" s="111"/>
      <c r="I66" s="92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F75</f>
        <v>153282</v>
      </c>
      <c r="G67" s="157">
        <f>SUM(G58:G66)</f>
        <v>0</v>
      </c>
      <c r="H67" s="159">
        <f>SUM(H58:H66)</f>
        <v>20658770</v>
      </c>
      <c r="I67" s="92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63"/>
      <c r="I68" s="92"/>
    </row>
    <row r="69" spans="1:9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0</v>
      </c>
      <c r="G69" s="143">
        <v>0</v>
      </c>
      <c r="H69" s="115">
        <v>5698877</v>
      </c>
      <c r="I69" s="92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0</v>
      </c>
      <c r="G70" s="143">
        <v>0</v>
      </c>
      <c r="H70" s="115">
        <v>21977567</v>
      </c>
      <c r="I70" s="92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0</v>
      </c>
      <c r="G71" s="157">
        <f t="shared" si="1"/>
        <v>0</v>
      </c>
      <c r="H71" s="159">
        <f>SUM(H69:H70)</f>
        <v>27676444</v>
      </c>
      <c r="I71" s="92"/>
    </row>
    <row r="72" spans="1:9" hidden="1" x14ac:dyDescent="0.2">
      <c r="A72" s="145"/>
      <c r="B72" s="142" t="s">
        <v>421</v>
      </c>
      <c r="C72" s="95"/>
      <c r="D72" s="143"/>
      <c r="E72" s="143"/>
      <c r="F72" s="168"/>
      <c r="G72" s="143"/>
      <c r="H72" s="111"/>
      <c r="I72" s="92"/>
    </row>
    <row r="73" spans="1:9" hidden="1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92"/>
    </row>
    <row r="74" spans="1:9" ht="15.75" thickBot="1" x14ac:dyDescent="0.3">
      <c r="A74" s="169" t="s">
        <v>423</v>
      </c>
      <c r="B74" s="170"/>
      <c r="C74" s="171"/>
      <c r="D74" s="172">
        <f>'PCFP - All Revenue AA-1 R-1'!D33+'PCFP - All Revenue AA-1 R-1'!D49+'PCFP - All Revenue AA-1 R-1'!D57+'PCFP - All Revenue AA-1 R-1'!D71+'PCFP - All Revenue AA-1 R-1'!D67</f>
        <v>0</v>
      </c>
      <c r="E74" s="172">
        <f>'PCFP - All Revenue AA-1 R-1'!E33+'PCFP - All Revenue AA-1 R-1'!E49+'PCFP - All Revenue AA-1 R-1'!E57+'PCFP - All Revenue AA-1 R-1'!E71+'PCFP - All Revenue AA-1 R-1'!E67</f>
        <v>0</v>
      </c>
      <c r="F74" s="173">
        <f>'PCFP - All Revenue AA-1 R-1'!F33+'PCFP - All Revenue AA-1 R-1'!F49+'PCFP - All Revenue AA-1 R-1'!F57+'PCFP - All Revenue AA-1 R-1'!F71+'PCFP - All Revenue AA-1 R-1'!F67</f>
        <v>73075050.614710167</v>
      </c>
      <c r="G74" s="172">
        <f>'PCFP - All Revenue AA-1 R-1'!G33+'PCFP - All Revenue AA-1 R-1'!G49+'PCFP - All Revenue AA-1 R-1'!G57+'PCFP - All Revenue AA-1 R-1'!G71+'PCFP - All Revenue AA-1 R-1'!G67</f>
        <v>0</v>
      </c>
      <c r="H74" s="174">
        <f>'PCFP - All Revenue AA-1 R-1'!H33+'PCFP - All Revenue AA-1 R-1'!H49+'PCFP - All Revenue AA-1 R-1'!H57+'PCFP - All Revenue AA-1 R-1'!H71+'PCFP - All Revenue AA-1 R-1'!H67</f>
        <v>71366067</v>
      </c>
      <c r="I74" s="92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78">
        <v>153282</v>
      </c>
      <c r="G75" s="143"/>
      <c r="H75" s="111">
        <v>0</v>
      </c>
      <c r="I75" s="92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78"/>
      <c r="G76" s="143"/>
      <c r="H76" s="111">
        <v>0</v>
      </c>
      <c r="I76" s="92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78"/>
      <c r="G77" s="143"/>
      <c r="H77" s="111">
        <v>0</v>
      </c>
      <c r="I77" s="92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92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8">
        <f t="shared" si="2"/>
        <v>153282</v>
      </c>
      <c r="G79" s="187">
        <f t="shared" si="2"/>
        <v>0</v>
      </c>
      <c r="H79" s="187">
        <f>SUM(H75:H78)</f>
        <v>0</v>
      </c>
    </row>
    <row r="80" spans="1:9" x14ac:dyDescent="0.2">
      <c r="A80" s="189"/>
      <c r="B80" s="189"/>
      <c r="C80" s="190"/>
      <c r="D80" s="190"/>
      <c r="E80" s="190"/>
      <c r="F80" s="190"/>
      <c r="G80" s="190"/>
      <c r="H80" s="190"/>
    </row>
    <row r="81" spans="1:8" x14ac:dyDescent="0.2">
      <c r="A81" s="94"/>
      <c r="B81" s="94"/>
      <c r="C81" s="191" t="str">
        <f>C1</f>
        <v>Carson City School District</v>
      </c>
      <c r="D81" s="190" t="s">
        <v>428</v>
      </c>
      <c r="E81" s="190"/>
      <c r="F81" s="190"/>
      <c r="G81" s="192" t="str">
        <f>"Budget Fiscal Year "&amp;TEXT('[1]Form 1'!$C$136, "mm/dd/yy")</f>
        <v>Budget Fiscal Year 2019-2020</v>
      </c>
      <c r="H81" s="190"/>
    </row>
    <row r="82" spans="1:8" x14ac:dyDescent="0.2">
      <c r="A82" s="98"/>
      <c r="B82" s="98"/>
      <c r="C82" s="193" t="s">
        <v>429</v>
      </c>
      <c r="D82" s="189" t="s">
        <v>430</v>
      </c>
      <c r="E82" s="190"/>
      <c r="F82" s="194"/>
      <c r="G82" s="192" t="s">
        <v>431</v>
      </c>
      <c r="H82" s="190"/>
    </row>
    <row r="83" spans="1:8" x14ac:dyDescent="0.2">
      <c r="A83" s="189"/>
      <c r="B83" s="189"/>
      <c r="C83" s="190"/>
      <c r="D83" s="190"/>
      <c r="E83" s="190"/>
      <c r="F83" s="195"/>
      <c r="G83" s="196"/>
      <c r="H83" s="197"/>
    </row>
    <row r="84" spans="1:8" x14ac:dyDescent="0.2">
      <c r="A84" s="189"/>
      <c r="B84" s="189"/>
      <c r="C84" s="190"/>
      <c r="D84" s="190"/>
      <c r="E84" s="190"/>
      <c r="H84" s="192"/>
    </row>
    <row r="85" spans="1:8" x14ac:dyDescent="0.2">
      <c r="A85" s="189"/>
      <c r="B85" s="189"/>
      <c r="C85" s="190"/>
      <c r="D85" s="190"/>
      <c r="E85" s="190"/>
      <c r="H85" s="192"/>
    </row>
  </sheetData>
  <pageMargins left="0.2" right="0.2" top="0.25" bottom="0.25" header="0.05" footer="0.05"/>
  <pageSetup paperSize="5" scale="53" fitToHeight="2" orientation="landscape" r:id="rId1"/>
  <rowBreaks count="1" manualBreakCount="1">
    <brk id="82" max="8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C23AB-7089-445F-853E-CE3FB51F227F}">
  <dimension ref="A1:G161"/>
  <sheetViews>
    <sheetView showGridLines="0" zoomScale="85" zoomScaleNormal="85" workbookViewId="0">
      <selection activeCell="B183" sqref="B183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5" style="12" bestFit="1" customWidth="1"/>
    <col min="4" max="4" width="16.7109375" style="12" customWidth="1"/>
    <col min="5" max="5" width="19.7109375" bestFit="1" customWidth="1"/>
    <col min="6" max="6" width="16.710937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496" t="s">
        <v>675</v>
      </c>
      <c r="D1" s="10" t="s">
        <v>119</v>
      </c>
    </row>
    <row r="3" spans="1:5" s="15" customFormat="1" ht="38.25" x14ac:dyDescent="0.2">
      <c r="A3" s="13"/>
      <c r="B3" s="13" t="s">
        <v>120</v>
      </c>
      <c r="C3" s="14" t="s">
        <v>545</v>
      </c>
      <c r="D3" s="14" t="s">
        <v>546</v>
      </c>
      <c r="E3" s="14" t="s">
        <v>123</v>
      </c>
    </row>
    <row r="4" spans="1:5" x14ac:dyDescent="0.2">
      <c r="B4" s="3"/>
    </row>
    <row r="5" spans="1:5" x14ac:dyDescent="0.2">
      <c r="B5" s="16" t="s">
        <v>124</v>
      </c>
      <c r="C5" s="12">
        <f>'19_20 District Budget Summ-12'!Q35</f>
        <v>2697385</v>
      </c>
      <c r="D5" s="12">
        <f>'PCFP - All Revenue AA-1 R -12'!F35</f>
        <v>994275</v>
      </c>
      <c r="E5" s="17">
        <f>D5-C5</f>
        <v>-1703110</v>
      </c>
    </row>
    <row r="6" spans="1:5" x14ac:dyDescent="0.2">
      <c r="E6" s="17"/>
    </row>
    <row r="7" spans="1:5" x14ac:dyDescent="0.2">
      <c r="B7" s="16" t="s">
        <v>125</v>
      </c>
      <c r="C7" s="12">
        <f>'19_20 District Budget Summ-12'!Q48</f>
        <v>6413877</v>
      </c>
      <c r="D7" s="12">
        <f>'PCFP - All Revenue AA-1 R -12'!F51</f>
        <v>7781740.3733480899</v>
      </c>
      <c r="E7" s="17">
        <f>D7-C7</f>
        <v>1367863.3733480899</v>
      </c>
    </row>
    <row r="8" spans="1:5" x14ac:dyDescent="0.2">
      <c r="E8" s="17"/>
    </row>
    <row r="9" spans="1:5" x14ac:dyDescent="0.2">
      <c r="B9" s="16" t="s">
        <v>126</v>
      </c>
      <c r="C9" s="12">
        <f>'19_20 District Budget Summ-12'!Q62</f>
        <v>1479503</v>
      </c>
      <c r="D9" s="12">
        <f>'PCFP - All Revenue AA-1 R -12'!F59</f>
        <v>1264633</v>
      </c>
      <c r="E9" s="17">
        <f>D9-C9</f>
        <v>-214870</v>
      </c>
    </row>
    <row r="10" spans="1:5" x14ac:dyDescent="0.2">
      <c r="E10" s="17"/>
    </row>
    <row r="11" spans="1:5" x14ac:dyDescent="0.2">
      <c r="B11" s="16" t="s">
        <v>127</v>
      </c>
      <c r="C11" s="12">
        <f>'19_20 District Budget Summ-12'!Q69</f>
        <v>0</v>
      </c>
      <c r="D11" s="12">
        <f>'PCFP - All Revenue AA-1 R -12'!F69</f>
        <v>0</v>
      </c>
      <c r="E11" s="17">
        <f>D11-C11</f>
        <v>0</v>
      </c>
    </row>
    <row r="12" spans="1:5" x14ac:dyDescent="0.2">
      <c r="E12" s="17"/>
    </row>
    <row r="13" spans="1:5" s="2" customFormat="1" x14ac:dyDescent="0.2">
      <c r="B13" s="18" t="s">
        <v>128</v>
      </c>
      <c r="C13" s="19">
        <f t="shared" ref="C13" si="0">SUM(C5:C12)</f>
        <v>10590765</v>
      </c>
      <c r="D13" s="19">
        <f>SUM(D5:D12)</f>
        <v>10040648.373348091</v>
      </c>
      <c r="E13" s="20">
        <f>D13-C13</f>
        <v>-550116.6266519092</v>
      </c>
    </row>
    <row r="15" spans="1:5" x14ac:dyDescent="0.2">
      <c r="B15" s="16" t="s">
        <v>129</v>
      </c>
      <c r="C15" s="12">
        <f>'19_20 District Budget Summ-12'!Q80</f>
        <v>3315136</v>
      </c>
      <c r="D15" s="12">
        <f>'PCFP - All Revenue AA-1 R -12'!F73</f>
        <v>3315136</v>
      </c>
      <c r="E15" s="21">
        <f>D15-C15</f>
        <v>0</v>
      </c>
    </row>
    <row r="17" spans="1:7" x14ac:dyDescent="0.2">
      <c r="A17" s="22"/>
      <c r="B17" s="23" t="s">
        <v>306</v>
      </c>
      <c r="C17" s="24">
        <f t="shared" ref="C17" si="1">SUM(C13:C15)</f>
        <v>13905901</v>
      </c>
      <c r="D17" s="24">
        <f>SUM(D13:D15)</f>
        <v>13355784.373348091</v>
      </c>
      <c r="E17" s="25">
        <f>D17-C17</f>
        <v>-550116.6266519092</v>
      </c>
      <c r="F17" s="26"/>
      <c r="G17" s="17"/>
    </row>
    <row r="18" spans="1:7" s="2" customFormat="1" x14ac:dyDescent="0.2">
      <c r="A18" s="27"/>
      <c r="B18" s="28" t="s">
        <v>131</v>
      </c>
      <c r="C18" s="285">
        <f>SUM(C21,C39,C68,C72)</f>
        <v>13905901</v>
      </c>
      <c r="D18" s="285">
        <f>SUM(D21,D39,D68,D72)</f>
        <v>13905901</v>
      </c>
      <c r="E18" s="29">
        <f>D18-C18</f>
        <v>0</v>
      </c>
    </row>
    <row r="19" spans="1:7" x14ac:dyDescent="0.2">
      <c r="A19" s="30"/>
      <c r="B19" s="286" t="s">
        <v>132</v>
      </c>
      <c r="C19" s="287">
        <f t="shared" ref="C19" si="2">C17-C18</f>
        <v>0</v>
      </c>
      <c r="D19" s="287">
        <f>D17-D18</f>
        <v>-550116.6266519092</v>
      </c>
      <c r="E19" s="29">
        <f>D19-C19</f>
        <v>-550116.6266519092</v>
      </c>
    </row>
    <row r="21" spans="1:7" x14ac:dyDescent="0.2">
      <c r="A21" s="3"/>
      <c r="B21" s="3" t="s">
        <v>468</v>
      </c>
      <c r="C21" s="12">
        <f>SUM(C22:C37)</f>
        <v>5391574</v>
      </c>
      <c r="D21" s="12">
        <f>SUM(D22:D37)</f>
        <v>3450385</v>
      </c>
    </row>
    <row r="22" spans="1:7" hidden="1" x14ac:dyDescent="0.2">
      <c r="A22" s="3">
        <v>100</v>
      </c>
      <c r="B22" s="3" t="s">
        <v>134</v>
      </c>
      <c r="C22" s="12">
        <f>'19_20 District Budget Summ-12'!Q87</f>
        <v>3808043</v>
      </c>
      <c r="D22" s="12">
        <f>'PCFP-All Expense AA-1 Modi-12'!J3</f>
        <v>3033626</v>
      </c>
      <c r="E22" s="288"/>
    </row>
    <row r="23" spans="1:7" hidden="1" x14ac:dyDescent="0.2">
      <c r="A23" s="3">
        <v>200</v>
      </c>
      <c r="B23" s="3" t="s">
        <v>135</v>
      </c>
      <c r="C23" s="12">
        <f>'19_20 District Budget Summ-12'!Q88</f>
        <v>981742</v>
      </c>
      <c r="D23" s="12">
        <f>'PCFP-All Expense AA-1 Modi-12'!J4</f>
        <v>0</v>
      </c>
      <c r="E23" s="288"/>
    </row>
    <row r="24" spans="1:7" hidden="1" x14ac:dyDescent="0.2">
      <c r="A24" s="3" t="s">
        <v>10</v>
      </c>
      <c r="B24" s="3" t="s">
        <v>136</v>
      </c>
      <c r="C24" s="12">
        <f>'19_20 District Budget Summ-12'!Q89</f>
        <v>0</v>
      </c>
      <c r="D24" s="12">
        <f>'PCFP-All Expense AA-1 Modi-12'!J5</f>
        <v>0</v>
      </c>
      <c r="E24" s="288"/>
    </row>
    <row r="25" spans="1:7" hidden="1" x14ac:dyDescent="0.2">
      <c r="A25" s="3">
        <v>270</v>
      </c>
      <c r="B25" s="3" t="s">
        <v>137</v>
      </c>
      <c r="C25" s="12">
        <f>'19_20 District Budget Summ-12'!Q90</f>
        <v>0</v>
      </c>
      <c r="D25" s="12">
        <f>'PCFP-All Expense AA-1 Modi-12'!J6</f>
        <v>0</v>
      </c>
      <c r="E25" s="288"/>
    </row>
    <row r="26" spans="1:7" hidden="1" x14ac:dyDescent="0.2">
      <c r="A26" s="3" t="s">
        <v>10</v>
      </c>
      <c r="B26" s="3" t="s">
        <v>138</v>
      </c>
      <c r="C26" s="12">
        <f>'19_20 District Budget Summ-12'!Q91</f>
        <v>0</v>
      </c>
      <c r="D26" s="12">
        <f>'PCFP-All Expense AA-1 Modi-12'!J7</f>
        <v>0</v>
      </c>
      <c r="E26" s="288"/>
    </row>
    <row r="27" spans="1:7" hidden="1" x14ac:dyDescent="0.2">
      <c r="A27" s="3">
        <v>300</v>
      </c>
      <c r="B27" s="3" t="s">
        <v>139</v>
      </c>
      <c r="C27" s="12">
        <f>'19_20 District Budget Summ-12'!Q92</f>
        <v>120038</v>
      </c>
      <c r="D27" s="12">
        <f>'PCFP-All Expense AA-1 Modi-12'!J8</f>
        <v>100032</v>
      </c>
      <c r="E27" s="288"/>
    </row>
    <row r="28" spans="1:7" hidden="1" x14ac:dyDescent="0.2">
      <c r="A28" s="3">
        <v>400</v>
      </c>
      <c r="B28" s="3" t="s">
        <v>140</v>
      </c>
      <c r="C28" s="12">
        <f>'19_20 District Budget Summ-12'!Q93</f>
        <v>188338</v>
      </c>
      <c r="D28" s="12">
        <f>'PCFP-All Expense AA-1 Modi-12'!J9</f>
        <v>88584</v>
      </c>
      <c r="E28" s="288"/>
    </row>
    <row r="29" spans="1:7" hidden="1" x14ac:dyDescent="0.2">
      <c r="A29" s="3" t="s">
        <v>10</v>
      </c>
      <c r="B29" s="3" t="s">
        <v>141</v>
      </c>
      <c r="C29" s="12">
        <f>'19_20 District Budget Summ-12'!Q94</f>
        <v>0</v>
      </c>
      <c r="D29" s="12">
        <f>'PCFP-All Expense AA-1 Modi-12'!J10</f>
        <v>0</v>
      </c>
      <c r="E29" s="288"/>
    </row>
    <row r="30" spans="1:7" hidden="1" x14ac:dyDescent="0.2">
      <c r="A30" s="3" t="s">
        <v>10</v>
      </c>
      <c r="B30" s="3" t="s">
        <v>142</v>
      </c>
      <c r="C30" s="12">
        <f>'19_20 District Budget Summ-12'!Q95</f>
        <v>0</v>
      </c>
      <c r="D30" s="12">
        <f>'PCFP-All Expense AA-1 Modi-12'!J11</f>
        <v>0</v>
      </c>
      <c r="E30" s="288"/>
    </row>
    <row r="31" spans="1:7" hidden="1" x14ac:dyDescent="0.2">
      <c r="A31" s="3">
        <v>430</v>
      </c>
      <c r="B31" s="3" t="s">
        <v>548</v>
      </c>
      <c r="C31" s="12">
        <f>'19_20 District Budget Summ-12'!Q96</f>
        <v>0</v>
      </c>
      <c r="D31" s="12">
        <f>'PCFP-All Expense AA-1 Modi-12'!J12</f>
        <v>0</v>
      </c>
      <c r="E31" s="288"/>
    </row>
    <row r="32" spans="1:7" hidden="1" x14ac:dyDescent="0.2">
      <c r="A32" s="3">
        <v>440</v>
      </c>
      <c r="B32" s="3" t="s">
        <v>143</v>
      </c>
      <c r="C32" s="12">
        <f>'19_20 District Budget Summ-12'!Q97</f>
        <v>0</v>
      </c>
      <c r="D32" s="12">
        <f>'PCFP-All Expense AA-1 Modi-12'!J13</f>
        <v>0</v>
      </c>
      <c r="E32" s="288"/>
    </row>
    <row r="33" spans="1:5" hidden="1" x14ac:dyDescent="0.2">
      <c r="A33" s="3">
        <v>500</v>
      </c>
      <c r="B33" s="3" t="s">
        <v>144</v>
      </c>
      <c r="C33" s="12">
        <f>'19_20 District Budget Summ-12'!Q98</f>
        <v>0</v>
      </c>
      <c r="D33" s="12">
        <f>'PCFP-All Expense AA-1 Modi-12'!J14</f>
        <v>0</v>
      </c>
      <c r="E33" s="288"/>
    </row>
    <row r="34" spans="1:5" hidden="1" x14ac:dyDescent="0.2">
      <c r="A34" s="3">
        <v>600</v>
      </c>
      <c r="B34" s="3" t="s">
        <v>145</v>
      </c>
      <c r="C34" s="12">
        <f>'19_20 District Budget Summ-12'!Q99</f>
        <v>63594</v>
      </c>
      <c r="D34" s="12">
        <f>'PCFP-All Expense AA-1 Modi-12'!J15</f>
        <v>0</v>
      </c>
      <c r="E34" s="288"/>
    </row>
    <row r="35" spans="1:5" hidden="1" x14ac:dyDescent="0.2">
      <c r="A35" s="3">
        <v>800</v>
      </c>
      <c r="B35" s="3" t="s">
        <v>146</v>
      </c>
      <c r="C35" s="12">
        <f>'19_20 District Budget Summ-12'!Q100</f>
        <v>1676</v>
      </c>
      <c r="D35" s="12">
        <f>'PCFP-All Expense AA-1 Modi-12'!J16</f>
        <v>46126</v>
      </c>
      <c r="E35" s="288"/>
    </row>
    <row r="36" spans="1:5" hidden="1" x14ac:dyDescent="0.2">
      <c r="A36" s="3">
        <v>910</v>
      </c>
      <c r="B36" s="3" t="s">
        <v>147</v>
      </c>
      <c r="C36" s="12">
        <f>'19_20 District Budget Summ-12'!Q101</f>
        <v>46126</v>
      </c>
      <c r="D36" s="12">
        <f>'PCFP-All Expense AA-1 Modi-12'!J17</f>
        <v>182017</v>
      </c>
      <c r="E36" s="288"/>
    </row>
    <row r="37" spans="1:5" hidden="1" x14ac:dyDescent="0.2">
      <c r="A37" s="3">
        <v>920</v>
      </c>
      <c r="B37" s="3" t="s">
        <v>148</v>
      </c>
      <c r="C37" s="12">
        <f>'19_20 District Budget Summ-12'!Q102</f>
        <v>182017</v>
      </c>
      <c r="D37" s="12">
        <f>'PCFP-All Expense AA-1 Modi-12'!J18</f>
        <v>0</v>
      </c>
      <c r="E37" s="288"/>
    </row>
    <row r="38" spans="1:5" x14ac:dyDescent="0.2">
      <c r="A38" s="3"/>
      <c r="B38" s="3"/>
      <c r="E38" s="288"/>
    </row>
    <row r="39" spans="1:5" x14ac:dyDescent="0.2">
      <c r="A39" s="3" t="s">
        <v>149</v>
      </c>
      <c r="B39" s="3" t="s">
        <v>150</v>
      </c>
      <c r="C39" s="12">
        <f>SUM(C40:C66)</f>
        <v>9146023</v>
      </c>
      <c r="D39" s="12">
        <f>SUM(D40:D66)</f>
        <v>5353272</v>
      </c>
      <c r="E39" s="288"/>
    </row>
    <row r="40" spans="1:5" hidden="1" x14ac:dyDescent="0.2">
      <c r="A40" s="3">
        <v>2100</v>
      </c>
      <c r="B40" s="3" t="s">
        <v>151</v>
      </c>
      <c r="C40" s="12">
        <f>'19_20 District Budget Summ-12'!Q105</f>
        <v>712263</v>
      </c>
      <c r="D40" s="12">
        <f>'PCFP-All Expense AA-1 Modi-12'!J21</f>
        <v>342476</v>
      </c>
      <c r="E40" s="288"/>
    </row>
    <row r="41" spans="1:5" hidden="1" x14ac:dyDescent="0.2">
      <c r="A41" s="3">
        <v>2200</v>
      </c>
      <c r="B41" s="3" t="s">
        <v>152</v>
      </c>
      <c r="C41" s="12">
        <f>'19_20 District Budget Summ-12'!Q106</f>
        <v>747328</v>
      </c>
      <c r="D41" s="12">
        <f>'PCFP-All Expense AA-1 Modi-12'!J22</f>
        <v>362993</v>
      </c>
      <c r="E41" s="288"/>
    </row>
    <row r="42" spans="1:5" hidden="1" x14ac:dyDescent="0.2">
      <c r="A42" s="3">
        <v>2300</v>
      </c>
      <c r="B42" s="3" t="s">
        <v>153</v>
      </c>
      <c r="C42" s="12">
        <f>'19_20 District Budget Summ-12'!Q107</f>
        <v>372456</v>
      </c>
      <c r="D42" s="12">
        <f>'PCFP-All Expense AA-1 Modi-12'!J23</f>
        <v>366857</v>
      </c>
      <c r="E42" s="288"/>
    </row>
    <row r="43" spans="1:5" hidden="1" x14ac:dyDescent="0.2">
      <c r="A43" s="3">
        <v>2400</v>
      </c>
      <c r="B43" s="3" t="s">
        <v>154</v>
      </c>
      <c r="C43" s="12">
        <f>'19_20 District Budget Summ-12'!Q108</f>
        <v>754909</v>
      </c>
      <c r="D43" s="12">
        <f>'PCFP-All Expense AA-1 Modi-12'!J24</f>
        <v>754909</v>
      </c>
      <c r="E43" s="288"/>
    </row>
    <row r="44" spans="1:5" hidden="1" x14ac:dyDescent="0.2">
      <c r="A44" s="3">
        <v>2500</v>
      </c>
      <c r="B44" s="3" t="s">
        <v>155</v>
      </c>
      <c r="C44" s="12">
        <f>'19_20 District Budget Summ-12'!Q109</f>
        <v>967429</v>
      </c>
      <c r="D44" s="12">
        <f>'PCFP-All Expense AA-1 Modi-12'!J25</f>
        <v>856704</v>
      </c>
      <c r="E44" s="288"/>
    </row>
    <row r="45" spans="1:5" hidden="1" x14ac:dyDescent="0.2">
      <c r="A45" s="3">
        <v>2600</v>
      </c>
      <c r="B45" s="3" t="s">
        <v>156</v>
      </c>
      <c r="C45" s="12">
        <f>'19_20 District Budget Summ-12'!Q110</f>
        <v>1364789</v>
      </c>
      <c r="D45" s="12">
        <f>'PCFP-All Expense AA-1 Modi-12'!J26</f>
        <v>1063921</v>
      </c>
      <c r="E45" s="288"/>
    </row>
    <row r="46" spans="1:5" hidden="1" x14ac:dyDescent="0.2">
      <c r="A46" s="3">
        <v>2700</v>
      </c>
      <c r="B46" s="3" t="s">
        <v>157</v>
      </c>
      <c r="C46" s="12">
        <f>'19_20 District Budget Summ-12'!Q111</f>
        <v>381236</v>
      </c>
      <c r="D46" s="12">
        <f>'PCFP-All Expense AA-1 Modi-12'!J27</f>
        <v>0</v>
      </c>
      <c r="E46" s="288"/>
    </row>
    <row r="47" spans="1:5" hidden="1" x14ac:dyDescent="0.2">
      <c r="A47" s="3">
        <v>2900</v>
      </c>
      <c r="B47" s="3" t="s">
        <v>158</v>
      </c>
      <c r="C47" s="12">
        <f>'19_20 District Budget Summ-12'!Q112</f>
        <v>27579</v>
      </c>
      <c r="D47" s="12">
        <f>'PCFP-All Expense AA-1 Modi-12'!J28</f>
        <v>335472</v>
      </c>
      <c r="E47" s="288"/>
    </row>
    <row r="48" spans="1:5" hidden="1" x14ac:dyDescent="0.2">
      <c r="A48" s="3">
        <v>3000</v>
      </c>
      <c r="B48" s="3" t="s">
        <v>159</v>
      </c>
      <c r="C48" s="12">
        <f>'19_20 District Budget Summ-12'!Q113</f>
        <v>0</v>
      </c>
      <c r="D48" s="12">
        <f>'PCFP-All Expense AA-1 Modi-12'!J29</f>
        <v>0</v>
      </c>
      <c r="E48" s="288"/>
    </row>
    <row r="49" spans="1:5" hidden="1" x14ac:dyDescent="0.2">
      <c r="A49" s="3">
        <v>3100</v>
      </c>
      <c r="B49" s="3" t="s">
        <v>160</v>
      </c>
      <c r="C49" s="12">
        <f>'19_20 District Budget Summ-12'!Q114</f>
        <v>375168</v>
      </c>
      <c r="D49" s="12">
        <f>'PCFP-All Expense AA-1 Modi-12'!J30</f>
        <v>0</v>
      </c>
      <c r="E49" s="288"/>
    </row>
    <row r="50" spans="1:5" hidden="1" x14ac:dyDescent="0.2">
      <c r="A50" s="3">
        <v>3200</v>
      </c>
      <c r="B50" s="3" t="s">
        <v>161</v>
      </c>
      <c r="C50" s="12">
        <f>'19_20 District Budget Summ-12'!Q115</f>
        <v>0</v>
      </c>
      <c r="D50" s="12">
        <f>'PCFP-All Expense AA-1 Modi-12'!J31</f>
        <v>0</v>
      </c>
      <c r="E50" s="288"/>
    </row>
    <row r="51" spans="1:5" hidden="1" x14ac:dyDescent="0.2">
      <c r="A51" s="3">
        <v>3300</v>
      </c>
      <c r="B51" s="3" t="s">
        <v>162</v>
      </c>
      <c r="C51" s="12">
        <f>'19_20 District Budget Summ-12'!Q116</f>
        <v>0</v>
      </c>
      <c r="D51" s="12">
        <f>'PCFP-All Expense AA-1 Modi-12'!J32</f>
        <v>0</v>
      </c>
      <c r="E51" s="288"/>
    </row>
    <row r="52" spans="1:5" hidden="1" x14ac:dyDescent="0.2">
      <c r="A52" s="3">
        <v>4000</v>
      </c>
      <c r="B52" s="3" t="s">
        <v>164</v>
      </c>
      <c r="C52" s="12">
        <f>'19_20 District Budget Summ-12'!Q117</f>
        <v>0</v>
      </c>
      <c r="D52" s="12">
        <f>'PCFP-All Expense AA-1 Modi-12'!J33</f>
        <v>0</v>
      </c>
      <c r="E52" s="288"/>
    </row>
    <row r="53" spans="1:5" hidden="1" x14ac:dyDescent="0.2">
      <c r="A53" s="3">
        <v>4100</v>
      </c>
      <c r="B53" s="3" t="s">
        <v>163</v>
      </c>
      <c r="C53" s="12">
        <f>'19_20 District Budget Summ-12'!Q118</f>
        <v>0</v>
      </c>
      <c r="D53" s="12">
        <f>'PCFP-All Expense AA-1 Modi-12'!J34</f>
        <v>0</v>
      </c>
      <c r="E53" s="288"/>
    </row>
    <row r="54" spans="1:5" hidden="1" x14ac:dyDescent="0.2">
      <c r="A54" s="3">
        <v>4200</v>
      </c>
      <c r="B54" s="3" t="s">
        <v>165</v>
      </c>
      <c r="C54" s="12">
        <f>'19_20 District Budget Summ-12'!Q119</f>
        <v>0</v>
      </c>
      <c r="D54" s="12">
        <f>'PCFP-All Expense AA-1 Modi-12'!J35</f>
        <v>0</v>
      </c>
      <c r="E54" s="288"/>
    </row>
    <row r="55" spans="1:5" hidden="1" x14ac:dyDescent="0.2">
      <c r="A55" s="3">
        <v>4300</v>
      </c>
      <c r="B55" s="3" t="s">
        <v>166</v>
      </c>
      <c r="C55" s="12">
        <f>'19_20 District Budget Summ-12'!Q120</f>
        <v>0</v>
      </c>
      <c r="D55" s="12">
        <f>'PCFP-All Expense AA-1 Modi-12'!J36</f>
        <v>0</v>
      </c>
      <c r="E55" s="288"/>
    </row>
    <row r="56" spans="1:5" hidden="1" x14ac:dyDescent="0.2">
      <c r="A56" s="3">
        <v>4400</v>
      </c>
      <c r="B56" s="3" t="s">
        <v>167</v>
      </c>
      <c r="C56" s="12">
        <f>'19_20 District Budget Summ-12'!Q121</f>
        <v>0</v>
      </c>
      <c r="D56" s="12">
        <f>'PCFP-All Expense AA-1 Modi-12'!J37</f>
        <v>0</v>
      </c>
      <c r="E56" s="288"/>
    </row>
    <row r="57" spans="1:5" hidden="1" x14ac:dyDescent="0.2">
      <c r="A57" s="3">
        <v>4500</v>
      </c>
      <c r="B57" s="3" t="s">
        <v>168</v>
      </c>
      <c r="C57" s="12">
        <f>'19_20 District Budget Summ-12'!Q122</f>
        <v>0</v>
      </c>
      <c r="D57" s="12">
        <f>'PCFP-All Expense AA-1 Modi-12'!J38</f>
        <v>0</v>
      </c>
      <c r="E57" s="288"/>
    </row>
    <row r="58" spans="1:5" hidden="1" x14ac:dyDescent="0.2">
      <c r="A58" s="3">
        <v>4600</v>
      </c>
      <c r="B58" s="3" t="s">
        <v>169</v>
      </c>
      <c r="C58" s="12">
        <f>'19_20 District Budget Summ-12'!Q123</f>
        <v>0</v>
      </c>
      <c r="D58" s="12">
        <f>'PCFP-All Expense AA-1 Modi-12'!J39</f>
        <v>0</v>
      </c>
      <c r="E58" s="288"/>
    </row>
    <row r="59" spans="1:5" hidden="1" x14ac:dyDescent="0.2">
      <c r="A59" s="3">
        <v>4700</v>
      </c>
      <c r="B59" s="3" t="s">
        <v>170</v>
      </c>
      <c r="C59" s="12">
        <f>'19_20 District Budget Summ-12'!Q124</f>
        <v>29191</v>
      </c>
      <c r="D59" s="12">
        <f>'PCFP-All Expense AA-1 Modi-12'!J40</f>
        <v>0</v>
      </c>
      <c r="E59" s="288"/>
    </row>
    <row r="60" spans="1:5" hidden="1" x14ac:dyDescent="0.2">
      <c r="A60" s="3">
        <v>4900</v>
      </c>
      <c r="B60" s="3" t="s">
        <v>171</v>
      </c>
      <c r="C60" s="12">
        <f>'19_20 District Budget Summ-12'!Q125</f>
        <v>148794</v>
      </c>
      <c r="D60" s="12">
        <f>'PCFP-All Expense AA-1 Modi-12'!J41</f>
        <v>0</v>
      </c>
      <c r="E60" s="288"/>
    </row>
    <row r="61" spans="1:5" hidden="1" x14ac:dyDescent="0.2">
      <c r="A61" s="3">
        <v>5000</v>
      </c>
      <c r="B61" s="3" t="s">
        <v>172</v>
      </c>
      <c r="C61" s="12">
        <f>'19_20 District Budget Summ-12'!Q126</f>
        <v>323762</v>
      </c>
      <c r="D61" s="12">
        <f>'PCFP-All Expense AA-1 Modi-12'!J42</f>
        <v>56048</v>
      </c>
      <c r="E61" s="288"/>
    </row>
    <row r="62" spans="1:5" hidden="1" x14ac:dyDescent="0.2">
      <c r="A62" s="3">
        <v>5000</v>
      </c>
      <c r="B62" s="3" t="s">
        <v>173</v>
      </c>
      <c r="C62" s="12">
        <f>'19_20 District Budget Summ-12'!Q127</f>
        <v>21090</v>
      </c>
      <c r="D62" s="12">
        <f>'PCFP-All Expense AA-1 Modi-12'!J43</f>
        <v>0</v>
      </c>
      <c r="E62" s="288"/>
    </row>
    <row r="63" spans="1:5" hidden="1" x14ac:dyDescent="0.2">
      <c r="A63" s="3">
        <v>6100</v>
      </c>
      <c r="B63" s="3" t="s">
        <v>174</v>
      </c>
      <c r="C63" s="12">
        <f>'19_20 District Budget Summ-12'!Q128</f>
        <v>0</v>
      </c>
      <c r="D63" s="12">
        <f>'PCFP-All Expense AA-1 Modi-12'!J44</f>
        <v>0</v>
      </c>
      <c r="E63" s="288"/>
    </row>
    <row r="64" spans="1:5" hidden="1" x14ac:dyDescent="0.2">
      <c r="A64" s="3">
        <v>6200</v>
      </c>
      <c r="B64" s="3" t="s">
        <v>175</v>
      </c>
      <c r="C64" s="12">
        <f>'19_20 District Budget Summ-12'!Q129</f>
        <v>631696</v>
      </c>
      <c r="D64" s="12">
        <f>'PCFP-All Expense AA-1 Modi-12'!J45</f>
        <v>479240</v>
      </c>
      <c r="E64" s="288"/>
    </row>
    <row r="65" spans="1:5" hidden="1" x14ac:dyDescent="0.2">
      <c r="A65" s="3">
        <v>6300</v>
      </c>
      <c r="B65" s="3" t="s">
        <v>176</v>
      </c>
      <c r="C65" s="12">
        <f>'19_20 District Budget Summ-12'!Q130</f>
        <v>242070</v>
      </c>
      <c r="D65" s="12">
        <f>'PCFP-All Expense AA-1 Modi-12'!J46</f>
        <v>242070</v>
      </c>
      <c r="E65" s="288"/>
    </row>
    <row r="66" spans="1:5" hidden="1" x14ac:dyDescent="0.2">
      <c r="A66" s="3">
        <v>8000</v>
      </c>
      <c r="B66" s="3" t="s">
        <v>177</v>
      </c>
      <c r="C66" s="12">
        <f>'19_20 District Budget Summ-12'!Q131</f>
        <v>2046263</v>
      </c>
      <c r="D66" s="12">
        <f>'PCFP-All Expense AA-1 Modi-12'!J47</f>
        <v>492582</v>
      </c>
      <c r="E66" s="288"/>
    </row>
    <row r="67" spans="1:5" x14ac:dyDescent="0.2">
      <c r="A67" s="3"/>
      <c r="B67" s="3"/>
      <c r="E67" s="288"/>
    </row>
    <row r="68" spans="1:5" x14ac:dyDescent="0.2">
      <c r="A68" s="3"/>
      <c r="B68" s="3" t="s">
        <v>173</v>
      </c>
      <c r="C68" s="12">
        <f>SUM(C69:C70)</f>
        <v>0</v>
      </c>
      <c r="D68" s="12">
        <f>SUM(D69:D70)</f>
        <v>762253</v>
      </c>
      <c r="E68" s="288"/>
    </row>
    <row r="69" spans="1:5" hidden="1" x14ac:dyDescent="0.2">
      <c r="A69" s="3"/>
      <c r="B69" s="3" t="str">
        <f>'PCFP-All Expense AA-1 Modi-12'!A52</f>
        <v>DEBT SERVICE</v>
      </c>
      <c r="C69" s="12">
        <v>0</v>
      </c>
      <c r="D69" s="12">
        <f>'PCFP-All Expense AA-1 Modi-12'!J52</f>
        <v>609797</v>
      </c>
      <c r="E69" s="288"/>
    </row>
    <row r="70" spans="1:5" hidden="1" x14ac:dyDescent="0.2">
      <c r="A70" s="3"/>
      <c r="B70" s="3" t="str">
        <f>'PCFP-All Expense AA-1 Modi-12'!A53</f>
        <v>DEBT SERVICE - MC-1</v>
      </c>
      <c r="C70" s="12">
        <v>0</v>
      </c>
      <c r="D70" s="12">
        <f>'PCFP-All Expense AA-1 Modi-12'!J53</f>
        <v>152456</v>
      </c>
      <c r="E70" s="288"/>
    </row>
    <row r="71" spans="1:5" x14ac:dyDescent="0.2">
      <c r="A71" s="3"/>
      <c r="B71" s="3"/>
      <c r="E71" s="288"/>
    </row>
    <row r="72" spans="1:5" s="2" customFormat="1" x14ac:dyDescent="0.2">
      <c r="A72" s="33"/>
      <c r="B72" s="3" t="s">
        <v>178</v>
      </c>
      <c r="C72" s="12">
        <f>SUM(C73:C161)</f>
        <v>-631696</v>
      </c>
      <c r="D72" s="12">
        <f>SUM(D73:D161)</f>
        <v>4339991</v>
      </c>
      <c r="E72" s="288"/>
    </row>
    <row r="73" spans="1:5" hidden="1" x14ac:dyDescent="0.2">
      <c r="B73" t="s">
        <v>179</v>
      </c>
      <c r="C73" s="12">
        <f>'19_20 District Budget Summ-12'!Q134</f>
        <v>0</v>
      </c>
      <c r="D73" s="12">
        <f>'PCFP-All Expense AA-1 Modi-12'!J56</f>
        <v>63594</v>
      </c>
      <c r="E73" s="288"/>
    </row>
    <row r="74" spans="1:5" hidden="1" x14ac:dyDescent="0.2">
      <c r="B74" t="s">
        <v>145</v>
      </c>
      <c r="C74" s="12">
        <f>'19_20 District Budget Summ-12'!Q135</f>
        <v>0</v>
      </c>
      <c r="D74" s="12">
        <f>'PCFP-All Expense AA-1 Modi-12'!J57</f>
        <v>0</v>
      </c>
      <c r="E74" s="288"/>
    </row>
    <row r="75" spans="1:5" hidden="1" x14ac:dyDescent="0.2">
      <c r="B75" t="s">
        <v>180</v>
      </c>
      <c r="C75" s="12">
        <f>'19_20 District Budget Summ-12'!Q136</f>
        <v>0</v>
      </c>
      <c r="D75" s="12">
        <f>'PCFP-All Expense AA-1 Modi-12'!J58</f>
        <v>0</v>
      </c>
      <c r="E75" s="288"/>
    </row>
    <row r="76" spans="1:5" hidden="1" x14ac:dyDescent="0.2">
      <c r="B76" t="s">
        <v>181</v>
      </c>
      <c r="C76" s="12">
        <f>'19_20 District Budget Summ-12'!Q137</f>
        <v>0</v>
      </c>
      <c r="D76" s="12">
        <f>'PCFP-All Expense AA-1 Modi-12'!J59</f>
        <v>0</v>
      </c>
      <c r="E76" s="288"/>
    </row>
    <row r="77" spans="1:5" hidden="1" x14ac:dyDescent="0.2">
      <c r="B77" t="s">
        <v>182</v>
      </c>
      <c r="C77" s="12">
        <f>'19_20 District Budget Summ-12'!Q138</f>
        <v>0</v>
      </c>
      <c r="D77" s="12">
        <f>'PCFP-All Expense AA-1 Modi-12'!J60</f>
        <v>29191</v>
      </c>
      <c r="E77" s="288"/>
    </row>
    <row r="78" spans="1:5" hidden="1" x14ac:dyDescent="0.2">
      <c r="B78" t="s">
        <v>183</v>
      </c>
      <c r="C78" s="12">
        <f>'19_20 District Budget Summ-12'!Q139</f>
        <v>0</v>
      </c>
      <c r="D78" s="12">
        <f>'PCFP-All Expense AA-1 Modi-12'!J61</f>
        <v>0</v>
      </c>
      <c r="E78" s="288"/>
    </row>
    <row r="79" spans="1:5" hidden="1" x14ac:dyDescent="0.2">
      <c r="B79" t="s">
        <v>184</v>
      </c>
      <c r="C79" s="12">
        <f>'19_20 District Budget Summ-12'!Q140</f>
        <v>0</v>
      </c>
      <c r="D79" s="12">
        <f>'PCFP-All Expense AA-1 Modi-12'!J62</f>
        <v>0</v>
      </c>
      <c r="E79" s="288"/>
    </row>
    <row r="80" spans="1:5" hidden="1" x14ac:dyDescent="0.2">
      <c r="B80" t="s">
        <v>185</v>
      </c>
      <c r="C80" s="12">
        <f>'19_20 District Budget Summ-12'!Q141</f>
        <v>0</v>
      </c>
      <c r="D80" s="12">
        <f>'PCFP-All Expense AA-1 Modi-12'!J63</f>
        <v>0</v>
      </c>
      <c r="E80" s="288"/>
    </row>
    <row r="81" spans="2:5" hidden="1" x14ac:dyDescent="0.2">
      <c r="B81" t="s">
        <v>186</v>
      </c>
      <c r="C81" s="12">
        <f>'19_20 District Budget Summ-12'!Q142</f>
        <v>0</v>
      </c>
      <c r="D81" s="12">
        <f>'PCFP-All Expense AA-1 Modi-12'!J64</f>
        <v>0</v>
      </c>
      <c r="E81" s="288"/>
    </row>
    <row r="82" spans="2:5" hidden="1" x14ac:dyDescent="0.2">
      <c r="B82" t="s">
        <v>187</v>
      </c>
      <c r="C82" s="12">
        <f>'19_20 District Budget Summ-12'!Q143</f>
        <v>-63073</v>
      </c>
      <c r="D82" s="12">
        <f>'PCFP-All Expense AA-1 Modi-12'!J65</f>
        <v>1246302</v>
      </c>
      <c r="E82" s="288"/>
    </row>
    <row r="83" spans="2:5" hidden="1" x14ac:dyDescent="0.2">
      <c r="B83" t="s">
        <v>188</v>
      </c>
      <c r="C83" s="12">
        <f>'19_20 District Budget Summ-12'!Q144</f>
        <v>-252456</v>
      </c>
      <c r="D83" s="12">
        <f>'PCFP-All Expense AA-1 Modi-12'!J66</f>
        <v>0</v>
      </c>
      <c r="E83" s="288"/>
    </row>
    <row r="84" spans="2:5" hidden="1" x14ac:dyDescent="0.2">
      <c r="B84" t="s">
        <v>189</v>
      </c>
      <c r="C84" s="12">
        <f>'19_20 District Budget Summ-12'!Q145</f>
        <v>0</v>
      </c>
      <c r="D84" s="12">
        <f>'PCFP-All Expense AA-1 Modi-12'!J67</f>
        <v>0</v>
      </c>
      <c r="E84" s="288"/>
    </row>
    <row r="85" spans="2:5" hidden="1" x14ac:dyDescent="0.2">
      <c r="B85" t="s">
        <v>190</v>
      </c>
      <c r="C85" s="12">
        <f>'19_20 District Budget Summ-12'!Q146</f>
        <v>0</v>
      </c>
      <c r="D85" s="12">
        <f>'PCFP-All Expense AA-1 Modi-12'!J68</f>
        <v>0</v>
      </c>
      <c r="E85" s="288"/>
    </row>
    <row r="86" spans="2:5" hidden="1" x14ac:dyDescent="0.2">
      <c r="B86" t="s">
        <v>191</v>
      </c>
      <c r="C86" s="12">
        <f>'19_20 District Budget Summ-12'!Q147</f>
        <v>0</v>
      </c>
      <c r="D86" s="12">
        <f>'PCFP-All Expense AA-1 Modi-12'!J69</f>
        <v>171715</v>
      </c>
      <c r="E86" s="288"/>
    </row>
    <row r="87" spans="2:5" hidden="1" x14ac:dyDescent="0.2">
      <c r="B87" t="s">
        <v>192</v>
      </c>
      <c r="C87" s="12">
        <f>'19_20 District Budget Summ-12'!Q148</f>
        <v>0</v>
      </c>
      <c r="D87" s="12">
        <f>'PCFP-All Expense AA-1 Modi-12'!J70</f>
        <v>0</v>
      </c>
      <c r="E87" s="288"/>
    </row>
    <row r="88" spans="2:5" hidden="1" x14ac:dyDescent="0.2">
      <c r="B88" t="s">
        <v>193</v>
      </c>
      <c r="C88" s="12">
        <f>'19_20 District Budget Summ-12'!Q149</f>
        <v>0</v>
      </c>
      <c r="D88" s="12">
        <f>'PCFP-All Expense AA-1 Modi-12'!J71</f>
        <v>0</v>
      </c>
      <c r="E88" s="288"/>
    </row>
    <row r="89" spans="2:5" hidden="1" x14ac:dyDescent="0.2">
      <c r="B89" t="s">
        <v>194</v>
      </c>
      <c r="C89" s="12">
        <f>'19_20 District Budget Summ-12'!Q150</f>
        <v>0</v>
      </c>
      <c r="D89" s="12">
        <f>'PCFP-All Expense AA-1 Modi-12'!J72</f>
        <v>0</v>
      </c>
      <c r="E89" s="288"/>
    </row>
    <row r="90" spans="2:5" hidden="1" x14ac:dyDescent="0.2">
      <c r="B90" t="s">
        <v>195</v>
      </c>
      <c r="C90" s="12">
        <f>'19_20 District Budget Summ-12'!Q151</f>
        <v>0</v>
      </c>
      <c r="D90" s="12">
        <f>'PCFP-All Expense AA-1 Modi-12'!J73</f>
        <v>0</v>
      </c>
      <c r="E90" s="288"/>
    </row>
    <row r="91" spans="2:5" hidden="1" x14ac:dyDescent="0.2">
      <c r="B91" t="s">
        <v>196</v>
      </c>
      <c r="C91" s="12">
        <f>'19_20 District Budget Summ-12'!Q152</f>
        <v>0</v>
      </c>
      <c r="D91" s="12">
        <f>'PCFP-All Expense AA-1 Modi-12'!J74</f>
        <v>0</v>
      </c>
      <c r="E91" s="288"/>
    </row>
    <row r="92" spans="2:5" hidden="1" x14ac:dyDescent="0.2">
      <c r="B92" t="s">
        <v>197</v>
      </c>
      <c r="C92" s="12">
        <f>'19_20 District Budget Summ-12'!Q153</f>
        <v>0</v>
      </c>
      <c r="D92" s="12">
        <f>'PCFP-All Expense AA-1 Modi-12'!J75</f>
        <v>0</v>
      </c>
      <c r="E92" s="288"/>
    </row>
    <row r="93" spans="2:5" hidden="1" x14ac:dyDescent="0.2">
      <c r="B93" t="s">
        <v>198</v>
      </c>
      <c r="C93" s="12">
        <f>'19_20 District Budget Summ-12'!Q154</f>
        <v>0</v>
      </c>
      <c r="D93" s="12">
        <f>'PCFP-All Expense AA-1 Modi-12'!J76</f>
        <v>0</v>
      </c>
      <c r="E93" s="288"/>
    </row>
    <row r="94" spans="2:5" hidden="1" x14ac:dyDescent="0.2">
      <c r="B94" t="s">
        <v>199</v>
      </c>
      <c r="C94" s="12">
        <f>'19_20 District Budget Summ-12'!Q155</f>
        <v>0</v>
      </c>
      <c r="D94" s="12">
        <f>'PCFP-All Expense AA-1 Modi-12'!J77</f>
        <v>0</v>
      </c>
      <c r="E94" s="288"/>
    </row>
    <row r="95" spans="2:5" hidden="1" x14ac:dyDescent="0.2">
      <c r="B95" t="s">
        <v>200</v>
      </c>
      <c r="C95" s="12">
        <f>'19_20 District Budget Summ-12'!Q156</f>
        <v>0</v>
      </c>
      <c r="D95" s="12">
        <f>'PCFP-All Expense AA-1 Modi-12'!J78</f>
        <v>0</v>
      </c>
      <c r="E95" s="288"/>
    </row>
    <row r="96" spans="2:5" hidden="1" x14ac:dyDescent="0.2">
      <c r="B96" t="s">
        <v>201</v>
      </c>
      <c r="C96" s="12">
        <f>'19_20 District Budget Summ-12'!Q157</f>
        <v>0</v>
      </c>
      <c r="D96" s="12">
        <f>'PCFP-All Expense AA-1 Modi-12'!J79</f>
        <v>0</v>
      </c>
      <c r="E96" s="288"/>
    </row>
    <row r="97" spans="2:5" hidden="1" x14ac:dyDescent="0.2">
      <c r="B97" t="s">
        <v>202</v>
      </c>
      <c r="C97" s="12">
        <f>'19_20 District Budget Summ-12'!Q158</f>
        <v>0</v>
      </c>
      <c r="D97" s="12">
        <f>'PCFP-All Expense AA-1 Modi-12'!J80</f>
        <v>0</v>
      </c>
      <c r="E97" s="288"/>
    </row>
    <row r="98" spans="2:5" hidden="1" x14ac:dyDescent="0.2">
      <c r="B98" t="s">
        <v>203</v>
      </c>
      <c r="C98" s="12">
        <f>'19_20 District Budget Summ-12'!Q159</f>
        <v>0</v>
      </c>
      <c r="D98" s="12">
        <f>'PCFP-All Expense AA-1 Modi-12'!J81</f>
        <v>0</v>
      </c>
      <c r="E98" s="288"/>
    </row>
    <row r="99" spans="2:5" hidden="1" x14ac:dyDescent="0.2">
      <c r="B99" t="s">
        <v>204</v>
      </c>
      <c r="C99" s="12">
        <f>'19_20 District Budget Summ-12'!Q160</f>
        <v>0</v>
      </c>
      <c r="D99" s="12">
        <f>'PCFP-All Expense AA-1 Modi-12'!J82</f>
        <v>988633</v>
      </c>
      <c r="E99" s="288"/>
    </row>
    <row r="100" spans="2:5" hidden="1" x14ac:dyDescent="0.2">
      <c r="B100" t="s">
        <v>205</v>
      </c>
      <c r="C100" s="12">
        <f>'19_20 District Budget Summ-12'!Q161</f>
        <v>0</v>
      </c>
      <c r="D100" s="12">
        <f>'PCFP-All Expense AA-1 Modi-12'!J83</f>
        <v>0</v>
      </c>
      <c r="E100" s="288"/>
    </row>
    <row r="101" spans="2:5" hidden="1" x14ac:dyDescent="0.2">
      <c r="B101" t="s">
        <v>206</v>
      </c>
      <c r="C101" s="12">
        <f>'19_20 District Budget Summ-12'!Q162</f>
        <v>-88000</v>
      </c>
      <c r="D101" s="12">
        <f>'PCFP-All Expense AA-1 Modi-12'!J84</f>
        <v>0</v>
      </c>
      <c r="E101" s="288"/>
    </row>
    <row r="102" spans="2:5" hidden="1" x14ac:dyDescent="0.2">
      <c r="B102" t="s">
        <v>207</v>
      </c>
      <c r="C102" s="12">
        <f>'19_20 District Budget Summ-12'!Q163</f>
        <v>0</v>
      </c>
      <c r="D102" s="12">
        <f>'PCFP-All Expense AA-1 Modi-12'!J85</f>
        <v>0</v>
      </c>
      <c r="E102" s="288"/>
    </row>
    <row r="103" spans="2:5" hidden="1" x14ac:dyDescent="0.2">
      <c r="B103" t="s">
        <v>208</v>
      </c>
      <c r="C103" s="12">
        <f>'19_20 District Budget Summ-12'!Q164</f>
        <v>0</v>
      </c>
      <c r="D103" s="12">
        <f>'PCFP-All Expense AA-1 Modi-12'!J86</f>
        <v>0</v>
      </c>
      <c r="E103" s="288"/>
    </row>
    <row r="104" spans="2:5" hidden="1" x14ac:dyDescent="0.2">
      <c r="B104" t="s">
        <v>209</v>
      </c>
      <c r="C104" s="12">
        <f>'19_20 District Budget Summ-12'!Q165</f>
        <v>0</v>
      </c>
      <c r="D104" s="12">
        <f>'PCFP-All Expense AA-1 Modi-12'!J87</f>
        <v>0</v>
      </c>
      <c r="E104" s="288"/>
    </row>
    <row r="105" spans="2:5" hidden="1" x14ac:dyDescent="0.2">
      <c r="B105" t="s">
        <v>210</v>
      </c>
      <c r="C105" s="12">
        <f>'19_20 District Budget Summ-12'!Q166</f>
        <v>0</v>
      </c>
      <c r="D105" s="12">
        <f>'PCFP-All Expense AA-1 Modi-12'!J88</f>
        <v>0</v>
      </c>
      <c r="E105" s="288"/>
    </row>
    <row r="106" spans="2:5" hidden="1" x14ac:dyDescent="0.2">
      <c r="B106" t="s">
        <v>211</v>
      </c>
      <c r="C106" s="12">
        <f>'19_20 District Budget Summ-12'!Q167</f>
        <v>0</v>
      </c>
      <c r="D106" s="12">
        <f>'PCFP-All Expense AA-1 Modi-12'!J89</f>
        <v>0</v>
      </c>
      <c r="E106" s="288"/>
    </row>
    <row r="107" spans="2:5" hidden="1" x14ac:dyDescent="0.2">
      <c r="B107" t="s">
        <v>212</v>
      </c>
      <c r="C107" s="12">
        <f>'19_20 District Budget Summ-12'!Q168</f>
        <v>0</v>
      </c>
      <c r="D107" s="12">
        <f>'PCFP-All Expense AA-1 Modi-12'!J90</f>
        <v>0</v>
      </c>
      <c r="E107" s="288"/>
    </row>
    <row r="108" spans="2:5" hidden="1" x14ac:dyDescent="0.2">
      <c r="B108" t="s">
        <v>213</v>
      </c>
      <c r="C108" s="12">
        <f>'19_20 District Budget Summ-12'!Q169</f>
        <v>0</v>
      </c>
      <c r="D108" s="12">
        <f>'PCFP-All Expense AA-1 Modi-12'!J91</f>
        <v>0</v>
      </c>
      <c r="E108" s="288"/>
    </row>
    <row r="109" spans="2:5" hidden="1" x14ac:dyDescent="0.2">
      <c r="B109" t="s">
        <v>214</v>
      </c>
      <c r="C109" s="12">
        <f>'19_20 District Budget Summ-12'!Q170</f>
        <v>0</v>
      </c>
      <c r="D109" s="12">
        <f>'PCFP-All Expense AA-1 Modi-12'!J92</f>
        <v>0</v>
      </c>
      <c r="E109" s="288"/>
    </row>
    <row r="110" spans="2:5" hidden="1" x14ac:dyDescent="0.2">
      <c r="B110" t="s">
        <v>215</v>
      </c>
      <c r="C110" s="12">
        <f>'19_20 District Budget Summ-12'!Q171</f>
        <v>0</v>
      </c>
      <c r="D110" s="12">
        <f>'PCFP-All Expense AA-1 Modi-12'!J93</f>
        <v>0</v>
      </c>
      <c r="E110" s="288"/>
    </row>
    <row r="111" spans="2:5" hidden="1" x14ac:dyDescent="0.2">
      <c r="B111" t="s">
        <v>216</v>
      </c>
      <c r="C111" s="12">
        <f>'19_20 District Budget Summ-12'!Q172</f>
        <v>0</v>
      </c>
      <c r="D111" s="12">
        <f>'PCFP-All Expense AA-1 Modi-12'!J94</f>
        <v>0</v>
      </c>
      <c r="E111" s="288"/>
    </row>
    <row r="112" spans="2:5" hidden="1" x14ac:dyDescent="0.2">
      <c r="B112" t="s">
        <v>217</v>
      </c>
      <c r="C112" s="12">
        <f>'19_20 District Budget Summ-12'!Q173</f>
        <v>0</v>
      </c>
      <c r="D112" s="12">
        <f>'PCFP-All Expense AA-1 Modi-12'!J95</f>
        <v>0</v>
      </c>
      <c r="E112" s="288"/>
    </row>
    <row r="113" spans="1:5" hidden="1" x14ac:dyDescent="0.2">
      <c r="B113" t="s">
        <v>218</v>
      </c>
      <c r="C113" s="12">
        <f>'19_20 District Budget Summ-12'!Q174</f>
        <v>0</v>
      </c>
      <c r="D113" s="12">
        <f>'PCFP-All Expense AA-1 Modi-12'!J96</f>
        <v>0</v>
      </c>
      <c r="E113" s="288"/>
    </row>
    <row r="114" spans="1:5" hidden="1" x14ac:dyDescent="0.2">
      <c r="B114" t="s">
        <v>219</v>
      </c>
      <c r="C114" s="12">
        <f>'19_20 District Budget Summ-12'!Q175</f>
        <v>0</v>
      </c>
      <c r="D114" s="12">
        <f>'PCFP-All Expense AA-1 Modi-12'!J97</f>
        <v>0</v>
      </c>
      <c r="E114" s="288"/>
    </row>
    <row r="115" spans="1:5" hidden="1" x14ac:dyDescent="0.2">
      <c r="B115" t="s">
        <v>220</v>
      </c>
      <c r="C115" s="12">
        <f>'19_20 District Budget Summ-12'!Q176</f>
        <v>0</v>
      </c>
      <c r="D115" s="12">
        <f>'PCFP-All Expense AA-1 Modi-12'!J98</f>
        <v>0</v>
      </c>
      <c r="E115" s="288"/>
    </row>
    <row r="116" spans="1:5" hidden="1" x14ac:dyDescent="0.2">
      <c r="B116" t="s">
        <v>221</v>
      </c>
      <c r="C116" s="12">
        <f>'19_20 District Budget Summ-12'!Q177</f>
        <v>0</v>
      </c>
      <c r="D116" s="12">
        <f>'PCFP-All Expense AA-1 Modi-12'!J99</f>
        <v>0</v>
      </c>
      <c r="E116" s="288"/>
    </row>
    <row r="117" spans="1:5" hidden="1" x14ac:dyDescent="0.2">
      <c r="A117" s="2" t="s">
        <v>10</v>
      </c>
      <c r="B117" t="s">
        <v>142</v>
      </c>
      <c r="C117" s="12">
        <f>'19_20 District Budget Summ-12'!Q178</f>
        <v>0</v>
      </c>
      <c r="D117" s="12">
        <f>'PCFP-All Expense AA-1 Modi-12'!J100</f>
        <v>0</v>
      </c>
      <c r="E117" s="288"/>
    </row>
    <row r="118" spans="1:5" hidden="1" x14ac:dyDescent="0.2">
      <c r="A118" s="2" t="s">
        <v>10</v>
      </c>
      <c r="B118" t="s">
        <v>141</v>
      </c>
      <c r="C118" s="12">
        <f>'19_20 District Budget Summ-12'!Q179</f>
        <v>0</v>
      </c>
      <c r="D118" s="12">
        <f>'PCFP-All Expense AA-1 Modi-12'!J101</f>
        <v>0</v>
      </c>
      <c r="E118" s="288"/>
    </row>
    <row r="119" spans="1:5" hidden="1" x14ac:dyDescent="0.2">
      <c r="A119" s="2" t="s">
        <v>33</v>
      </c>
      <c r="B119" t="s">
        <v>222</v>
      </c>
      <c r="C119" s="12">
        <f>'19_20 District Budget Summ-12'!Q180</f>
        <v>0</v>
      </c>
      <c r="D119" s="12">
        <f>'PCFP-All Expense AA-1 Modi-12'!J102</f>
        <v>0</v>
      </c>
      <c r="E119" s="288"/>
    </row>
    <row r="120" spans="1:5" hidden="1" x14ac:dyDescent="0.2">
      <c r="A120" s="2" t="s">
        <v>10</v>
      </c>
      <c r="B120" t="s">
        <v>138</v>
      </c>
      <c r="C120" s="12">
        <f>'19_20 District Budget Summ-12'!Q181</f>
        <v>0</v>
      </c>
      <c r="D120" s="12">
        <f>'PCFP-All Expense AA-1 Modi-12'!J103</f>
        <v>0</v>
      </c>
      <c r="E120" s="288"/>
    </row>
    <row r="121" spans="1:5" hidden="1" x14ac:dyDescent="0.2">
      <c r="A121" s="2" t="s">
        <v>10</v>
      </c>
      <c r="B121" t="s">
        <v>136</v>
      </c>
      <c r="C121" s="12">
        <f>'19_20 District Budget Summ-12'!Q182</f>
        <v>0</v>
      </c>
      <c r="D121" s="12">
        <f>'PCFP-All Expense AA-1 Modi-12'!J104</f>
        <v>0</v>
      </c>
      <c r="E121" s="288"/>
    </row>
    <row r="122" spans="1:5" hidden="1" x14ac:dyDescent="0.2">
      <c r="B122" t="s">
        <v>223</v>
      </c>
      <c r="C122" s="12">
        <f>'19_20 District Budget Summ-12'!Q183</f>
        <v>0</v>
      </c>
      <c r="D122" s="12">
        <f>'PCFP-All Expense AA-1 Modi-12'!J105</f>
        <v>0</v>
      </c>
      <c r="E122" s="288"/>
    </row>
    <row r="123" spans="1:5" hidden="1" x14ac:dyDescent="0.2">
      <c r="B123" t="s">
        <v>224</v>
      </c>
      <c r="C123" s="12">
        <f>'19_20 District Budget Summ-12'!Q184</f>
        <v>0</v>
      </c>
      <c r="D123" s="12">
        <f>'PCFP-All Expense AA-1 Modi-12'!J106</f>
        <v>0</v>
      </c>
      <c r="E123" s="288"/>
    </row>
    <row r="124" spans="1:5" hidden="1" x14ac:dyDescent="0.2">
      <c r="B124" t="s">
        <v>225</v>
      </c>
      <c r="C124" s="12">
        <f>'19_20 District Budget Summ-12'!Q185</f>
        <v>0</v>
      </c>
      <c r="D124" s="12">
        <f>'PCFP-All Expense AA-1 Modi-12'!J107</f>
        <v>0</v>
      </c>
      <c r="E124" s="288"/>
    </row>
    <row r="125" spans="1:5" hidden="1" x14ac:dyDescent="0.2">
      <c r="B125" t="s">
        <v>226</v>
      </c>
      <c r="C125" s="12">
        <f>'19_20 District Budget Summ-12'!Q186</f>
        <v>0</v>
      </c>
      <c r="D125" s="12">
        <f>'PCFP-All Expense AA-1 Modi-12'!J108</f>
        <v>0</v>
      </c>
      <c r="E125" s="288"/>
    </row>
    <row r="126" spans="1:5" hidden="1" x14ac:dyDescent="0.2">
      <c r="B126" t="s">
        <v>227</v>
      </c>
      <c r="C126" s="12">
        <f>'19_20 District Budget Summ-12'!Q187</f>
        <v>0</v>
      </c>
      <c r="D126" s="12">
        <f>'PCFP-All Expense AA-1 Modi-12'!J109</f>
        <v>0</v>
      </c>
      <c r="E126" s="288"/>
    </row>
    <row r="127" spans="1:5" hidden="1" x14ac:dyDescent="0.2">
      <c r="B127" t="s">
        <v>228</v>
      </c>
      <c r="C127" s="12">
        <f>'19_20 District Budget Summ-12'!Q188</f>
        <v>0</v>
      </c>
      <c r="D127" s="12">
        <f>'PCFP-All Expense AA-1 Modi-12'!J110</f>
        <v>106607</v>
      </c>
      <c r="E127" s="288"/>
    </row>
    <row r="128" spans="1:5" hidden="1" x14ac:dyDescent="0.2">
      <c r="B128" t="s">
        <v>229</v>
      </c>
      <c r="C128" s="12">
        <f>'19_20 District Budget Summ-12'!Q189</f>
        <v>0</v>
      </c>
      <c r="D128" s="12">
        <f>'PCFP-All Expense AA-1 Modi-12'!J111</f>
        <v>43561</v>
      </c>
      <c r="E128" s="288"/>
    </row>
    <row r="129" spans="2:5" hidden="1" x14ac:dyDescent="0.2">
      <c r="B129" t="s">
        <v>230</v>
      </c>
      <c r="C129" s="12">
        <f>'19_20 District Budget Summ-12'!Q190</f>
        <v>0</v>
      </c>
      <c r="D129" s="12">
        <f>'PCFP-All Expense AA-1 Modi-12'!J112</f>
        <v>0</v>
      </c>
      <c r="E129" s="288"/>
    </row>
    <row r="130" spans="2:5" hidden="1" x14ac:dyDescent="0.2">
      <c r="B130" t="s">
        <v>231</v>
      </c>
      <c r="C130" s="12">
        <f>'19_20 District Budget Summ-12'!Q191</f>
        <v>0</v>
      </c>
      <c r="D130" s="12">
        <f>'PCFP-All Expense AA-1 Modi-12'!J113</f>
        <v>0</v>
      </c>
      <c r="E130" s="288"/>
    </row>
    <row r="131" spans="2:5" hidden="1" x14ac:dyDescent="0.2">
      <c r="B131" t="s">
        <v>232</v>
      </c>
      <c r="C131" s="12">
        <f>'19_20 District Budget Summ-12'!Q192</f>
        <v>0</v>
      </c>
      <c r="D131" s="12">
        <f>'PCFP-All Expense AA-1 Modi-12'!J114</f>
        <v>0</v>
      </c>
      <c r="E131" s="288"/>
    </row>
    <row r="132" spans="2:5" hidden="1" x14ac:dyDescent="0.2">
      <c r="B132" t="s">
        <v>233</v>
      </c>
      <c r="C132" s="12">
        <f>'19_20 District Budget Summ-12'!Q193</f>
        <v>0</v>
      </c>
      <c r="D132" s="12">
        <f>'PCFP-All Expense AA-1 Modi-12'!J115</f>
        <v>0</v>
      </c>
      <c r="E132" s="288"/>
    </row>
    <row r="133" spans="2:5" hidden="1" x14ac:dyDescent="0.2">
      <c r="B133" t="s">
        <v>234</v>
      </c>
      <c r="C133" s="12">
        <f>'19_20 District Budget Summ-12'!Q194</f>
        <v>0</v>
      </c>
      <c r="D133" s="12">
        <f>'PCFP-All Expense AA-1 Modi-12'!J116</f>
        <v>0</v>
      </c>
      <c r="E133" s="288"/>
    </row>
    <row r="134" spans="2:5" hidden="1" x14ac:dyDescent="0.2">
      <c r="B134" t="s">
        <v>9</v>
      </c>
      <c r="C134" s="12">
        <f>'19_20 District Budget Summ-12'!Q195</f>
        <v>-216167</v>
      </c>
      <c r="D134" s="12">
        <f>'PCFP-All Expense AA-1 Modi-12'!J117</f>
        <v>850022</v>
      </c>
      <c r="E134" s="288"/>
    </row>
    <row r="135" spans="2:5" hidden="1" x14ac:dyDescent="0.2">
      <c r="B135" s="3" t="s">
        <v>235</v>
      </c>
      <c r="C135" s="12">
        <f>'19_20 District Budget Summ-12'!Q197</f>
        <v>0</v>
      </c>
      <c r="D135" s="12">
        <f>'PCFP-All Expense AA-1 Modi-12'!J118</f>
        <v>0</v>
      </c>
      <c r="E135" s="288"/>
    </row>
    <row r="136" spans="2:5" hidden="1" x14ac:dyDescent="0.2">
      <c r="B136" t="s">
        <v>236</v>
      </c>
      <c r="C136" s="12">
        <f>'19_20 District Budget Summ-12'!Q198</f>
        <v>0</v>
      </c>
      <c r="D136" s="12">
        <f>'PCFP-All Expense AA-1 Modi-12'!J119</f>
        <v>1051903</v>
      </c>
      <c r="E136" s="288"/>
    </row>
    <row r="137" spans="2:5" hidden="1" x14ac:dyDescent="0.2">
      <c r="B137" t="s">
        <v>237</v>
      </c>
      <c r="C137" s="12">
        <f>'19_20 District Budget Summ-12'!Q199</f>
        <v>0</v>
      </c>
      <c r="D137" s="12">
        <f>'PCFP-All Expense AA-1 Modi-12'!J120</f>
        <v>0</v>
      </c>
      <c r="E137" s="288"/>
    </row>
    <row r="138" spans="2:5" hidden="1" x14ac:dyDescent="0.2">
      <c r="B138" t="s">
        <v>238</v>
      </c>
      <c r="C138" s="12">
        <f>'19_20 District Budget Summ-12'!Q200</f>
        <v>0</v>
      </c>
      <c r="D138" s="12">
        <f>'PCFP-All Expense AA-1 Modi-12'!J121</f>
        <v>0</v>
      </c>
      <c r="E138" s="288"/>
    </row>
    <row r="139" spans="2:5" hidden="1" x14ac:dyDescent="0.2">
      <c r="B139" t="s">
        <v>239</v>
      </c>
      <c r="C139" s="12">
        <f>'19_20 District Budget Summ-12'!Q201</f>
        <v>0</v>
      </c>
      <c r="D139" s="12">
        <f>'PCFP-All Expense AA-1 Modi-12'!J122</f>
        <v>0</v>
      </c>
      <c r="E139" s="288"/>
    </row>
    <row r="140" spans="2:5" hidden="1" x14ac:dyDescent="0.2">
      <c r="B140" t="s">
        <v>240</v>
      </c>
      <c r="C140" s="12">
        <f>'19_20 District Budget Summ-12'!Q202</f>
        <v>0</v>
      </c>
      <c r="D140" s="12">
        <f>'PCFP-All Expense AA-1 Modi-12'!J123</f>
        <v>0</v>
      </c>
      <c r="E140" s="288"/>
    </row>
    <row r="141" spans="2:5" hidden="1" x14ac:dyDescent="0.2">
      <c r="B141" t="s">
        <v>241</v>
      </c>
      <c r="C141" s="12">
        <f>'19_20 District Budget Summ-12'!Q203</f>
        <v>0</v>
      </c>
      <c r="D141" s="12">
        <f>'PCFP-All Expense AA-1 Modi-12'!J124</f>
        <v>0</v>
      </c>
      <c r="E141" s="288"/>
    </row>
    <row r="142" spans="2:5" hidden="1" x14ac:dyDescent="0.2">
      <c r="B142" t="s">
        <v>242</v>
      </c>
      <c r="C142" s="12">
        <f>'19_20 District Budget Summ-12'!Q204</f>
        <v>0</v>
      </c>
      <c r="D142" s="12">
        <f>'PCFP-All Expense AA-1 Modi-12'!J125</f>
        <v>0</v>
      </c>
      <c r="E142" s="288"/>
    </row>
    <row r="143" spans="2:5" hidden="1" x14ac:dyDescent="0.2">
      <c r="B143" t="s">
        <v>243</v>
      </c>
      <c r="C143" s="12">
        <f>'19_20 District Budget Summ-12'!Q205</f>
        <v>-12000</v>
      </c>
      <c r="D143" s="12">
        <f>'PCFP-All Expense AA-1 Modi-12'!J126</f>
        <v>0</v>
      </c>
      <c r="E143" s="288"/>
    </row>
    <row r="144" spans="2:5" hidden="1" x14ac:dyDescent="0.2">
      <c r="B144" t="s">
        <v>244</v>
      </c>
      <c r="C144" s="12">
        <f>'19_20 District Budget Summ-12'!Q206</f>
        <v>0</v>
      </c>
      <c r="D144" s="12">
        <f>'PCFP-All Expense AA-1 Modi-12'!J127</f>
        <v>0</v>
      </c>
      <c r="E144" s="288"/>
    </row>
    <row r="145" spans="2:5" hidden="1" x14ac:dyDescent="0.2">
      <c r="B145" s="2" t="s">
        <v>245</v>
      </c>
      <c r="D145" s="12">
        <f>'PCFP-All Expense AA-1 Modi-12'!J128</f>
        <v>0</v>
      </c>
      <c r="E145" s="288"/>
    </row>
    <row r="146" spans="2:5" hidden="1" x14ac:dyDescent="0.2">
      <c r="B146" t="s">
        <v>246</v>
      </c>
      <c r="C146" s="12">
        <f>'19_20 District Budget Summ-12'!Q208</f>
        <v>0</v>
      </c>
      <c r="D146" s="12">
        <f>'PCFP-All Expense AA-1 Modi-12'!J129</f>
        <v>0</v>
      </c>
      <c r="E146" s="288"/>
    </row>
    <row r="147" spans="2:5" hidden="1" x14ac:dyDescent="0.2">
      <c r="B147" t="s">
        <v>247</v>
      </c>
      <c r="C147" s="12">
        <f>'19_20 District Budget Summ-12'!Q209</f>
        <v>0</v>
      </c>
      <c r="D147" s="12">
        <f>'PCFP-All Expense AA-1 Modi-12'!J130</f>
        <v>398095</v>
      </c>
      <c r="E147" s="288"/>
    </row>
    <row r="148" spans="2:5" hidden="1" x14ac:dyDescent="0.2">
      <c r="B148" t="s">
        <v>248</v>
      </c>
      <c r="C148" s="12">
        <f>'19_20 District Budget Summ-12'!Q210</f>
        <v>0</v>
      </c>
      <c r="D148" s="12">
        <f>'PCFP-All Expense AA-1 Modi-12'!J131</f>
        <v>0</v>
      </c>
      <c r="E148" s="288"/>
    </row>
    <row r="149" spans="2:5" hidden="1" x14ac:dyDescent="0.2">
      <c r="B149" t="s">
        <v>249</v>
      </c>
      <c r="C149" s="12">
        <f>'19_20 District Budget Summ-12'!Q211</f>
        <v>0</v>
      </c>
      <c r="D149" s="12">
        <f>'PCFP-All Expense AA-1 Modi-12'!J132</f>
        <v>0</v>
      </c>
      <c r="E149" s="288"/>
    </row>
    <row r="150" spans="2:5" hidden="1" x14ac:dyDescent="0.2">
      <c r="B150" t="s">
        <v>250</v>
      </c>
      <c r="C150" s="12">
        <f>'19_20 District Budget Summ-12'!Q212</f>
        <v>0</v>
      </c>
      <c r="D150" s="12">
        <f>'PCFP-All Expense AA-1 Modi-12'!J133</f>
        <v>0</v>
      </c>
      <c r="E150" s="288"/>
    </row>
    <row r="151" spans="2:5" hidden="1" x14ac:dyDescent="0.2">
      <c r="B151" t="s">
        <v>251</v>
      </c>
      <c r="C151" s="12">
        <f>'19_20 District Budget Summ-12'!Q213</f>
        <v>0</v>
      </c>
      <c r="D151" s="12">
        <f>'PCFP-All Expense AA-1 Modi-12'!J134</f>
        <v>0</v>
      </c>
      <c r="E151" s="288"/>
    </row>
    <row r="152" spans="2:5" hidden="1" x14ac:dyDescent="0.2">
      <c r="B152" t="s">
        <v>252</v>
      </c>
      <c r="C152" s="12">
        <f>'19_20 District Budget Summ-12'!Q214</f>
        <v>0</v>
      </c>
      <c r="D152" s="12">
        <f>'PCFP-All Expense AA-1 Modi-12'!J135</f>
        <v>0</v>
      </c>
      <c r="E152" s="288"/>
    </row>
    <row r="153" spans="2:5" hidden="1" x14ac:dyDescent="0.2">
      <c r="B153" t="s">
        <v>253</v>
      </c>
      <c r="C153" s="12">
        <f>'19_20 District Budget Summ-12'!Q215</f>
        <v>0</v>
      </c>
      <c r="D153" s="12">
        <f>'PCFP-All Expense AA-1 Modi-12'!J136</f>
        <v>0</v>
      </c>
      <c r="E153" s="288"/>
    </row>
    <row r="154" spans="2:5" hidden="1" x14ac:dyDescent="0.2">
      <c r="B154" t="s">
        <v>254</v>
      </c>
      <c r="C154" s="12">
        <f>'19_20 District Budget Summ-12'!Q216</f>
        <v>0</v>
      </c>
      <c r="D154" s="12">
        <f>'PCFP-All Expense AA-1 Modi-12'!J137</f>
        <v>0</v>
      </c>
      <c r="E154" s="288"/>
    </row>
    <row r="155" spans="2:5" hidden="1" x14ac:dyDescent="0.2">
      <c r="B155" t="s">
        <v>255</v>
      </c>
      <c r="C155" s="12">
        <f>'19_20 District Budget Summ-12'!Q217</f>
        <v>0</v>
      </c>
      <c r="D155" s="12">
        <f>'PCFP-All Expense AA-1 Modi-12'!J138</f>
        <v>0</v>
      </c>
      <c r="E155" s="288"/>
    </row>
    <row r="156" spans="2:5" hidden="1" x14ac:dyDescent="0.2">
      <c r="B156" t="s">
        <v>256</v>
      </c>
      <c r="C156" s="12">
        <f>'19_20 District Budget Summ-12'!Q218</f>
        <v>0</v>
      </c>
      <c r="D156" s="12">
        <f>'PCFP-All Expense AA-1 Modi-12'!J139</f>
        <v>0</v>
      </c>
      <c r="E156" s="288"/>
    </row>
    <row r="157" spans="2:5" hidden="1" x14ac:dyDescent="0.2">
      <c r="B157" t="s">
        <v>257</v>
      </c>
      <c r="C157" s="12">
        <f>'19_20 District Budget Summ-12'!Q219</f>
        <v>0</v>
      </c>
      <c r="D157" s="12">
        <f>'PCFP-All Expense AA-1 Modi-12'!J140</f>
        <v>0</v>
      </c>
      <c r="E157" s="288"/>
    </row>
    <row r="158" spans="2:5" hidden="1" x14ac:dyDescent="0.2">
      <c r="B158" t="s">
        <v>258</v>
      </c>
      <c r="C158" s="12">
        <f>'19_20 District Budget Summ-12'!Q220</f>
        <v>0</v>
      </c>
      <c r="D158" s="12">
        <f>'PCFP-All Expense AA-1 Modi-12'!J141</f>
        <v>0</v>
      </c>
      <c r="E158" s="288"/>
    </row>
    <row r="159" spans="2:5" hidden="1" x14ac:dyDescent="0.2">
      <c r="B159" t="s">
        <v>259</v>
      </c>
      <c r="C159" s="12">
        <f>'19_20 District Budget Summ-12'!Q221</f>
        <v>0</v>
      </c>
      <c r="D159" s="12">
        <f>'PCFP-All Expense AA-1 Modi-12'!J142</f>
        <v>22064</v>
      </c>
      <c r="E159" s="288"/>
    </row>
    <row r="160" spans="2:5" hidden="1" x14ac:dyDescent="0.2">
      <c r="B160" t="s">
        <v>260</v>
      </c>
      <c r="C160" s="12">
        <f>'19_20 District Budget Summ-12'!Q222</f>
        <v>0</v>
      </c>
      <c r="D160" s="12">
        <f>'PCFP-All Expense AA-1 Modi-12'!J143</f>
        <v>0</v>
      </c>
      <c r="E160" s="288"/>
    </row>
    <row r="161" spans="2:5" hidden="1" x14ac:dyDescent="0.2">
      <c r="B161" t="str">
        <f>'PCFP-All Expense AA-1 Modi-12'!B146</f>
        <v>Less:  Interfund Transfers</v>
      </c>
      <c r="C161" s="12">
        <v>0</v>
      </c>
      <c r="D161" s="12">
        <f>'PCFP-All Expense AA-1 Modi-12'!J146</f>
        <v>-631696</v>
      </c>
      <c r="E161" s="288"/>
    </row>
  </sheetData>
  <pageMargins left="0.7" right="0.7" top="0.75" bottom="0.75" header="0.3" footer="0.3"/>
  <pageSetup scale="94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8A63-C3F9-4CAB-A74D-D81471556497}">
  <dimension ref="A1:T223"/>
  <sheetViews>
    <sheetView showGridLines="0" zoomScale="85" zoomScaleNormal="85" workbookViewId="0">
      <pane xSplit="2" ySplit="3" topLeftCell="C14" activePane="bottomRight" state="frozen"/>
      <selection activeCell="A5" sqref="A5:XFD7"/>
      <selection pane="topRight" activeCell="A5" sqref="A5:XFD7"/>
      <selection pane="bottomLeft" activeCell="A5" sqref="A5:XFD7"/>
      <selection pane="bottomRight" activeCell="G70" sqref="G70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4.5703125" style="12" bestFit="1" customWidth="1"/>
    <col min="4" max="4" width="12.85546875" style="12" bestFit="1" customWidth="1"/>
    <col min="5" max="5" width="18" style="12" bestFit="1" customWidth="1"/>
    <col min="6" max="6" width="16" style="12" bestFit="1" customWidth="1"/>
    <col min="7" max="7" width="14" style="12" bestFit="1" customWidth="1"/>
    <col min="8" max="8" width="15.28515625" style="12" bestFit="1" customWidth="1"/>
    <col min="9" max="9" width="14.28515625" style="12" customWidth="1"/>
    <col min="10" max="10" width="15.42578125" style="12" bestFit="1" customWidth="1"/>
    <col min="11" max="11" width="11.5703125" style="12" bestFit="1" customWidth="1"/>
    <col min="12" max="12" width="14.140625" style="12" customWidth="1"/>
    <col min="13" max="13" width="14" style="12" bestFit="1" customWidth="1"/>
    <col min="14" max="14" width="11.28515625" style="12" bestFit="1" customWidth="1"/>
    <col min="15" max="15" width="16.140625" style="12" customWidth="1"/>
    <col min="16" max="16" width="15.5703125" style="12" customWidth="1"/>
    <col min="17" max="17" width="35.7109375" bestFit="1" customWidth="1"/>
    <col min="18" max="18" width="19.42578125" bestFit="1" customWidth="1"/>
    <col min="19" max="19" width="16.7109375" hidden="1" customWidth="1"/>
    <col min="20" max="20" width="14.42578125" style="520" hidden="1" customWidth="1"/>
  </cols>
  <sheetData>
    <row r="1" spans="1:20" s="8" customFormat="1" ht="18" x14ac:dyDescent="0.25">
      <c r="A1" s="6"/>
      <c r="B1" s="9" t="s">
        <v>261</v>
      </c>
      <c r="C1" s="496" t="s">
        <v>675</v>
      </c>
      <c r="D1" s="10" t="s">
        <v>119</v>
      </c>
      <c r="E1" s="332" t="s">
        <v>262</v>
      </c>
      <c r="F1" s="333">
        <v>13905901</v>
      </c>
      <c r="G1" s="10"/>
      <c r="H1" s="10"/>
      <c r="I1" s="10"/>
      <c r="K1" s="10"/>
      <c r="N1" s="10"/>
      <c r="O1" s="10"/>
      <c r="P1" s="10"/>
      <c r="T1" s="517"/>
    </row>
    <row r="3" spans="1:20" s="15" customFormat="1" ht="38.25" x14ac:dyDescent="0.2">
      <c r="A3" s="13"/>
      <c r="B3" s="13" t="s">
        <v>120</v>
      </c>
      <c r="C3" s="14" t="s">
        <v>263</v>
      </c>
      <c r="D3" s="14" t="s">
        <v>173</v>
      </c>
      <c r="E3" s="14" t="s">
        <v>9</v>
      </c>
      <c r="F3" s="14" t="s">
        <v>145</v>
      </c>
      <c r="G3" s="14" t="s">
        <v>236</v>
      </c>
      <c r="H3" s="14" t="s">
        <v>204</v>
      </c>
      <c r="I3" s="14" t="s">
        <v>191</v>
      </c>
      <c r="J3" s="14" t="s">
        <v>676</v>
      </c>
      <c r="K3" s="14" t="s">
        <v>229</v>
      </c>
      <c r="L3" s="14" t="s">
        <v>677</v>
      </c>
      <c r="M3" s="14" t="s">
        <v>678</v>
      </c>
      <c r="N3" s="14" t="s">
        <v>668</v>
      </c>
      <c r="O3" s="14" t="s">
        <v>206</v>
      </c>
      <c r="P3" s="14" t="s">
        <v>633</v>
      </c>
      <c r="Q3" s="14" t="s">
        <v>679</v>
      </c>
      <c r="T3" s="518"/>
    </row>
    <row r="4" spans="1:20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S4" s="290">
        <f>SUM(S5:S12)</f>
        <v>1942980</v>
      </c>
      <c r="T4" s="518"/>
    </row>
    <row r="5" spans="1:20" s="291" customFormat="1" x14ac:dyDescent="0.2">
      <c r="B5" s="292" t="s">
        <v>274</v>
      </c>
      <c r="C5" s="915">
        <v>1242510</v>
      </c>
      <c r="D5" s="915">
        <v>414170</v>
      </c>
      <c r="E5" s="915">
        <v>0</v>
      </c>
      <c r="F5" s="915">
        <v>0</v>
      </c>
      <c r="G5" s="915">
        <v>0</v>
      </c>
      <c r="H5" s="915">
        <v>0</v>
      </c>
      <c r="I5" s="915">
        <v>0</v>
      </c>
      <c r="J5" s="915">
        <v>0</v>
      </c>
      <c r="K5" s="915">
        <v>0</v>
      </c>
      <c r="L5" s="915">
        <v>0</v>
      </c>
      <c r="M5" s="915">
        <v>0</v>
      </c>
      <c r="N5" s="915">
        <v>0</v>
      </c>
      <c r="O5" s="915">
        <v>0</v>
      </c>
      <c r="P5" s="915">
        <v>0</v>
      </c>
      <c r="Q5" s="915" t="str">
        <f t="shared" ref="Q5:Q33" si="0">B5</f>
        <v>Property Taxes</v>
      </c>
      <c r="R5" s="936">
        <f>SUM(C5:P5)</f>
        <v>1656680</v>
      </c>
      <c r="S5" s="38">
        <f>R5-D5</f>
        <v>1242510</v>
      </c>
      <c r="T5" s="292" t="s">
        <v>275</v>
      </c>
    </row>
    <row r="6" spans="1:20" s="291" customFormat="1" ht="25.5" hidden="1" x14ac:dyDescent="0.2">
      <c r="B6" s="292" t="s">
        <v>474</v>
      </c>
      <c r="C6" s="915">
        <v>0</v>
      </c>
      <c r="D6" s="915">
        <v>0</v>
      </c>
      <c r="E6" s="915">
        <v>0</v>
      </c>
      <c r="F6" s="915">
        <v>0</v>
      </c>
      <c r="G6" s="915">
        <v>0</v>
      </c>
      <c r="H6" s="915">
        <v>0</v>
      </c>
      <c r="I6" s="915">
        <v>0</v>
      </c>
      <c r="J6" s="915">
        <v>0</v>
      </c>
      <c r="K6" s="915">
        <v>0</v>
      </c>
      <c r="L6" s="915">
        <v>0</v>
      </c>
      <c r="M6" s="915">
        <v>0</v>
      </c>
      <c r="N6" s="915">
        <v>0</v>
      </c>
      <c r="O6" s="915">
        <v>0</v>
      </c>
      <c r="P6" s="915">
        <v>0</v>
      </c>
      <c r="Q6" s="915" t="str">
        <f t="shared" si="0"/>
        <v>Net Proceeds from Mines</v>
      </c>
      <c r="R6" s="936">
        <f t="shared" ref="R6:R33" si="1">SUM(C6:P6)</f>
        <v>0</v>
      </c>
      <c r="S6" s="38">
        <f>R6-D6</f>
        <v>0</v>
      </c>
      <c r="T6" s="292" t="s">
        <v>473</v>
      </c>
    </row>
    <row r="7" spans="1:20" s="37" customFormat="1" x14ac:dyDescent="0.2">
      <c r="B7" s="37" t="s">
        <v>276</v>
      </c>
      <c r="C7" s="915">
        <v>455562</v>
      </c>
      <c r="D7" s="915">
        <v>0</v>
      </c>
      <c r="E7" s="915">
        <v>0</v>
      </c>
      <c r="F7" s="915">
        <v>0</v>
      </c>
      <c r="G7" s="915">
        <v>0</v>
      </c>
      <c r="H7" s="915">
        <v>0</v>
      </c>
      <c r="I7" s="915">
        <v>0</v>
      </c>
      <c r="J7" s="915">
        <v>0</v>
      </c>
      <c r="K7" s="915">
        <v>0</v>
      </c>
      <c r="L7" s="915">
        <v>0</v>
      </c>
      <c r="M7" s="915">
        <v>0</v>
      </c>
      <c r="N7" s="915">
        <v>0</v>
      </c>
      <c r="O7" s="915">
        <v>0</v>
      </c>
      <c r="P7" s="915">
        <v>0</v>
      </c>
      <c r="Q7" s="915" t="str">
        <f t="shared" si="0"/>
        <v>School Support Taxes</v>
      </c>
      <c r="R7" s="936">
        <f t="shared" si="1"/>
        <v>455562</v>
      </c>
      <c r="S7" s="38">
        <f t="shared" ref="S7:S10" si="2">R7</f>
        <v>455562</v>
      </c>
      <c r="T7" s="519" t="s">
        <v>275</v>
      </c>
    </row>
    <row r="8" spans="1:20" s="37" customFormat="1" hidden="1" x14ac:dyDescent="0.2">
      <c r="B8" s="37" t="s">
        <v>551</v>
      </c>
      <c r="C8" s="915">
        <v>0</v>
      </c>
      <c r="D8" s="915">
        <v>0</v>
      </c>
      <c r="E8" s="915">
        <v>0</v>
      </c>
      <c r="F8" s="915">
        <v>0</v>
      </c>
      <c r="G8" s="915">
        <v>0</v>
      </c>
      <c r="H8" s="915">
        <v>0</v>
      </c>
      <c r="I8" s="915">
        <v>0</v>
      </c>
      <c r="J8" s="915">
        <v>0</v>
      </c>
      <c r="K8" s="915">
        <v>0</v>
      </c>
      <c r="L8" s="915">
        <v>0</v>
      </c>
      <c r="M8" s="915">
        <v>0</v>
      </c>
      <c r="N8" s="915">
        <v>0</v>
      </c>
      <c r="O8" s="915">
        <v>0</v>
      </c>
      <c r="P8" s="915">
        <v>0</v>
      </c>
      <c r="Q8" s="915" t="str">
        <f t="shared" si="0"/>
        <v>Real Estate Transfer Tax</v>
      </c>
      <c r="R8" s="936">
        <f t="shared" si="1"/>
        <v>0</v>
      </c>
      <c r="S8" s="38">
        <f t="shared" si="2"/>
        <v>0</v>
      </c>
      <c r="T8" s="519"/>
    </row>
    <row r="9" spans="1:20" s="37" customFormat="1" hidden="1" x14ac:dyDescent="0.2">
      <c r="B9" s="37" t="s">
        <v>550</v>
      </c>
      <c r="C9" s="915">
        <v>0</v>
      </c>
      <c r="D9" s="915">
        <v>0</v>
      </c>
      <c r="E9" s="915">
        <v>0</v>
      </c>
      <c r="F9" s="915">
        <v>0</v>
      </c>
      <c r="G9" s="915">
        <v>0</v>
      </c>
      <c r="H9" s="915">
        <v>0</v>
      </c>
      <c r="I9" s="915">
        <v>0</v>
      </c>
      <c r="J9" s="915">
        <v>0</v>
      </c>
      <c r="K9" s="915">
        <v>0</v>
      </c>
      <c r="L9" s="915">
        <v>0</v>
      </c>
      <c r="M9" s="915">
        <v>0</v>
      </c>
      <c r="N9" s="915">
        <v>0</v>
      </c>
      <c r="O9" s="915">
        <v>0</v>
      </c>
      <c r="P9" s="915">
        <v>0</v>
      </c>
      <c r="Q9" s="915" t="str">
        <f t="shared" si="0"/>
        <v>Room Tax</v>
      </c>
      <c r="R9" s="936">
        <f t="shared" si="1"/>
        <v>0</v>
      </c>
      <c r="S9" s="38">
        <f t="shared" si="2"/>
        <v>0</v>
      </c>
      <c r="T9" s="519" t="s">
        <v>275</v>
      </c>
    </row>
    <row r="10" spans="1:20" s="37" customFormat="1" hidden="1" x14ac:dyDescent="0.2">
      <c r="B10" s="37" t="s">
        <v>277</v>
      </c>
      <c r="C10" s="915">
        <v>0</v>
      </c>
      <c r="D10" s="915">
        <v>0</v>
      </c>
      <c r="E10" s="915">
        <v>0</v>
      </c>
      <c r="F10" s="915">
        <v>0</v>
      </c>
      <c r="G10" s="915">
        <v>0</v>
      </c>
      <c r="H10" s="915">
        <v>0</v>
      </c>
      <c r="I10" s="915">
        <v>0</v>
      </c>
      <c r="J10" s="915">
        <v>0</v>
      </c>
      <c r="K10" s="915">
        <v>0</v>
      </c>
      <c r="L10" s="915">
        <v>0</v>
      </c>
      <c r="M10" s="915">
        <v>0</v>
      </c>
      <c r="N10" s="915">
        <v>0</v>
      </c>
      <c r="O10" s="915">
        <v>0</v>
      </c>
      <c r="P10" s="915">
        <v>0</v>
      </c>
      <c r="Q10" s="915" t="str">
        <f t="shared" si="0"/>
        <v>Franchise Taxes</v>
      </c>
      <c r="R10" s="936">
        <f t="shared" si="1"/>
        <v>0</v>
      </c>
      <c r="S10" s="38">
        <f t="shared" si="2"/>
        <v>0</v>
      </c>
      <c r="T10" s="519" t="s">
        <v>275</v>
      </c>
    </row>
    <row r="11" spans="1:20" s="37" customFormat="1" x14ac:dyDescent="0.2">
      <c r="B11" s="37" t="s">
        <v>680</v>
      </c>
      <c r="C11" s="915">
        <v>25000</v>
      </c>
      <c r="D11" s="915">
        <v>0</v>
      </c>
      <c r="E11" s="915">
        <v>0</v>
      </c>
      <c r="F11" s="915">
        <v>0</v>
      </c>
      <c r="G11" s="915">
        <v>0</v>
      </c>
      <c r="H11" s="915">
        <v>0</v>
      </c>
      <c r="I11" s="915">
        <v>0</v>
      </c>
      <c r="J11" s="915">
        <v>0</v>
      </c>
      <c r="K11" s="915">
        <v>0</v>
      </c>
      <c r="L11" s="915">
        <v>0</v>
      </c>
      <c r="M11" s="915">
        <v>0</v>
      </c>
      <c r="N11" s="915">
        <v>0</v>
      </c>
      <c r="O11" s="915">
        <v>0</v>
      </c>
      <c r="P11" s="915">
        <v>0</v>
      </c>
      <c r="Q11" s="915" t="str">
        <f t="shared" si="0"/>
        <v>Geothermal</v>
      </c>
      <c r="R11" s="936">
        <f t="shared" si="1"/>
        <v>25000</v>
      </c>
      <c r="S11" s="38">
        <f>R11</f>
        <v>25000</v>
      </c>
      <c r="T11" s="519" t="s">
        <v>275</v>
      </c>
    </row>
    <row r="12" spans="1:20" s="37" customFormat="1" x14ac:dyDescent="0.2">
      <c r="B12" s="37" t="s">
        <v>278</v>
      </c>
      <c r="C12" s="915">
        <v>219908</v>
      </c>
      <c r="D12" s="915">
        <v>0</v>
      </c>
      <c r="E12" s="915">
        <v>0</v>
      </c>
      <c r="F12" s="915">
        <v>0</v>
      </c>
      <c r="G12" s="915">
        <v>0</v>
      </c>
      <c r="H12" s="915">
        <v>0</v>
      </c>
      <c r="I12" s="915">
        <v>0</v>
      </c>
      <c r="J12" s="915">
        <v>0</v>
      </c>
      <c r="K12" s="915">
        <v>0</v>
      </c>
      <c r="L12" s="915">
        <v>0</v>
      </c>
      <c r="M12" s="915">
        <v>41196</v>
      </c>
      <c r="N12" s="915">
        <v>0</v>
      </c>
      <c r="O12" s="915">
        <v>0</v>
      </c>
      <c r="P12" s="915">
        <v>0</v>
      </c>
      <c r="Q12" s="915" t="str">
        <f t="shared" si="0"/>
        <v>Governmental Services Tax</v>
      </c>
      <c r="R12" s="936">
        <f t="shared" si="1"/>
        <v>261104</v>
      </c>
      <c r="S12" s="38">
        <f>R12-M12</f>
        <v>219908</v>
      </c>
      <c r="T12" s="519" t="s">
        <v>279</v>
      </c>
    </row>
    <row r="13" spans="1:20" s="37" customFormat="1" hidden="1" x14ac:dyDescent="0.2">
      <c r="B13" s="37" t="s">
        <v>338</v>
      </c>
      <c r="C13" s="915">
        <v>0</v>
      </c>
      <c r="D13" s="915">
        <v>0</v>
      </c>
      <c r="E13" s="915">
        <v>0</v>
      </c>
      <c r="F13" s="915">
        <v>0</v>
      </c>
      <c r="G13" s="915">
        <v>0</v>
      </c>
      <c r="H13" s="915">
        <v>0</v>
      </c>
      <c r="I13" s="915">
        <v>0</v>
      </c>
      <c r="J13" s="915">
        <v>0</v>
      </c>
      <c r="K13" s="915">
        <v>0</v>
      </c>
      <c r="L13" s="915">
        <v>0</v>
      </c>
      <c r="M13" s="915">
        <v>0</v>
      </c>
      <c r="N13" s="915">
        <v>0</v>
      </c>
      <c r="O13" s="915">
        <v>0</v>
      </c>
      <c r="P13" s="915">
        <v>0</v>
      </c>
      <c r="Q13" s="915" t="str">
        <f t="shared" si="0"/>
        <v>Other Taxes</v>
      </c>
      <c r="R13" s="936">
        <f t="shared" si="1"/>
        <v>0</v>
      </c>
      <c r="S13" s="38"/>
      <c r="T13" s="519"/>
    </row>
    <row r="14" spans="1:20" s="37" customFormat="1" x14ac:dyDescent="0.2">
      <c r="B14" s="37" t="s">
        <v>281</v>
      </c>
      <c r="C14" s="915">
        <v>1000</v>
      </c>
      <c r="D14" s="915">
        <v>0</v>
      </c>
      <c r="E14" s="915">
        <v>0</v>
      </c>
      <c r="F14" s="915">
        <v>0</v>
      </c>
      <c r="G14" s="915">
        <v>0</v>
      </c>
      <c r="H14" s="915">
        <v>0</v>
      </c>
      <c r="I14" s="915">
        <v>0</v>
      </c>
      <c r="J14" s="915">
        <v>0</v>
      </c>
      <c r="K14" s="915">
        <v>0</v>
      </c>
      <c r="L14" s="915">
        <v>0</v>
      </c>
      <c r="M14" s="915">
        <v>0</v>
      </c>
      <c r="N14" s="915">
        <v>0</v>
      </c>
      <c r="O14" s="915">
        <v>0</v>
      </c>
      <c r="P14" s="915">
        <v>0</v>
      </c>
      <c r="Q14" s="915" t="str">
        <f t="shared" si="0"/>
        <v>Boat Registration</v>
      </c>
      <c r="R14" s="936">
        <f t="shared" si="1"/>
        <v>1000</v>
      </c>
      <c r="S14" s="38"/>
      <c r="T14" s="519"/>
    </row>
    <row r="15" spans="1:20" s="37" customFormat="1" hidden="1" x14ac:dyDescent="0.2">
      <c r="B15" s="37" t="s">
        <v>227</v>
      </c>
      <c r="C15" s="915">
        <v>0</v>
      </c>
      <c r="D15" s="915">
        <v>0</v>
      </c>
      <c r="E15" s="915">
        <v>0</v>
      </c>
      <c r="F15" s="915">
        <v>0</v>
      </c>
      <c r="G15" s="915">
        <v>0</v>
      </c>
      <c r="H15" s="915">
        <v>0</v>
      </c>
      <c r="I15" s="915">
        <v>0</v>
      </c>
      <c r="J15" s="915">
        <v>0</v>
      </c>
      <c r="K15" s="915">
        <v>0</v>
      </c>
      <c r="L15" s="915">
        <v>0</v>
      </c>
      <c r="M15" s="915">
        <v>0</v>
      </c>
      <c r="N15" s="915">
        <v>0</v>
      </c>
      <c r="O15" s="915">
        <v>0</v>
      </c>
      <c r="P15" s="915">
        <v>0</v>
      </c>
      <c r="Q15" s="915" t="str">
        <f t="shared" si="0"/>
        <v>Residential Construction Tax</v>
      </c>
      <c r="R15" s="936">
        <f t="shared" si="1"/>
        <v>0</v>
      </c>
      <c r="S15" s="38"/>
      <c r="T15" s="519"/>
    </row>
    <row r="16" spans="1:20" s="37" customFormat="1" hidden="1" x14ac:dyDescent="0.2">
      <c r="B16" s="37" t="s">
        <v>282</v>
      </c>
      <c r="C16" s="915">
        <v>0</v>
      </c>
      <c r="D16" s="915">
        <v>0</v>
      </c>
      <c r="E16" s="915">
        <v>0</v>
      </c>
      <c r="F16" s="915">
        <v>0</v>
      </c>
      <c r="G16" s="915">
        <v>0</v>
      </c>
      <c r="H16" s="915">
        <v>0</v>
      </c>
      <c r="I16" s="915">
        <v>0</v>
      </c>
      <c r="J16" s="915">
        <v>0</v>
      </c>
      <c r="K16" s="915">
        <v>0</v>
      </c>
      <c r="L16" s="915">
        <v>0</v>
      </c>
      <c r="M16" s="915">
        <v>0</v>
      </c>
      <c r="N16" s="915">
        <v>0</v>
      </c>
      <c r="O16" s="915">
        <v>0</v>
      </c>
      <c r="P16" s="915">
        <v>0</v>
      </c>
      <c r="Q16" s="915" t="str">
        <f t="shared" si="0"/>
        <v>Tuition</v>
      </c>
      <c r="R16" s="936">
        <f t="shared" si="1"/>
        <v>0</v>
      </c>
      <c r="S16" s="38"/>
      <c r="T16" s="519"/>
    </row>
    <row r="17" spans="1:20" s="37" customFormat="1" hidden="1" x14ac:dyDescent="0.2">
      <c r="B17" s="37" t="s">
        <v>143</v>
      </c>
      <c r="C17" s="915">
        <v>0</v>
      </c>
      <c r="D17" s="915">
        <v>0</v>
      </c>
      <c r="E17" s="915">
        <v>0</v>
      </c>
      <c r="F17" s="915">
        <v>0</v>
      </c>
      <c r="G17" s="915">
        <v>0</v>
      </c>
      <c r="H17" s="915">
        <v>0</v>
      </c>
      <c r="I17" s="915">
        <v>0</v>
      </c>
      <c r="J17" s="915">
        <v>0</v>
      </c>
      <c r="K17" s="915">
        <v>0</v>
      </c>
      <c r="L17" s="915">
        <v>0</v>
      </c>
      <c r="M17" s="915">
        <v>0</v>
      </c>
      <c r="N17" s="915">
        <v>0</v>
      </c>
      <c r="O17" s="915">
        <v>0</v>
      </c>
      <c r="P17" s="915">
        <v>0</v>
      </c>
      <c r="Q17" s="915" t="str">
        <f t="shared" si="0"/>
        <v>Summer School</v>
      </c>
      <c r="R17" s="936">
        <f t="shared" si="1"/>
        <v>0</v>
      </c>
      <c r="S17" s="38"/>
      <c r="T17" s="519"/>
    </row>
    <row r="18" spans="1:20" s="37" customFormat="1" hidden="1" x14ac:dyDescent="0.2">
      <c r="B18" s="37" t="s">
        <v>283</v>
      </c>
      <c r="C18" s="915">
        <v>0</v>
      </c>
      <c r="D18" s="915">
        <v>0</v>
      </c>
      <c r="E18" s="915">
        <v>0</v>
      </c>
      <c r="F18" s="915">
        <v>0</v>
      </c>
      <c r="G18" s="915">
        <v>0</v>
      </c>
      <c r="H18" s="915">
        <v>0</v>
      </c>
      <c r="I18" s="915">
        <v>0</v>
      </c>
      <c r="J18" s="915">
        <v>0</v>
      </c>
      <c r="K18" s="915">
        <v>0</v>
      </c>
      <c r="L18" s="915">
        <v>0</v>
      </c>
      <c r="M18" s="915">
        <v>0</v>
      </c>
      <c r="N18" s="915">
        <v>0</v>
      </c>
      <c r="O18" s="915">
        <v>0</v>
      </c>
      <c r="P18" s="915">
        <v>0</v>
      </c>
      <c r="Q18" s="915" t="str">
        <f t="shared" si="0"/>
        <v>Transportation Fees</v>
      </c>
      <c r="R18" s="936">
        <f t="shared" si="1"/>
        <v>0</v>
      </c>
      <c r="S18" s="38"/>
      <c r="T18" s="519"/>
    </row>
    <row r="19" spans="1:20" s="37" customFormat="1" x14ac:dyDescent="0.2">
      <c r="B19" s="37" t="s">
        <v>284</v>
      </c>
      <c r="C19" s="915">
        <v>17460</v>
      </c>
      <c r="D19" s="915">
        <v>6000</v>
      </c>
      <c r="E19" s="915">
        <v>0</v>
      </c>
      <c r="F19" s="915">
        <v>0</v>
      </c>
      <c r="G19" s="915">
        <v>0</v>
      </c>
      <c r="H19" s="915">
        <v>0</v>
      </c>
      <c r="I19" s="915">
        <v>0</v>
      </c>
      <c r="J19" s="915">
        <v>0</v>
      </c>
      <c r="K19" s="915">
        <v>0</v>
      </c>
      <c r="L19" s="915">
        <v>0</v>
      </c>
      <c r="M19" s="915">
        <v>2000</v>
      </c>
      <c r="N19" s="915">
        <v>200</v>
      </c>
      <c r="O19" s="915">
        <v>0</v>
      </c>
      <c r="P19" s="915">
        <v>0</v>
      </c>
      <c r="Q19" s="915" t="str">
        <f t="shared" si="0"/>
        <v>Earnings on Investments</v>
      </c>
      <c r="R19" s="936">
        <f t="shared" si="1"/>
        <v>25660</v>
      </c>
      <c r="S19" s="38"/>
      <c r="T19" s="519"/>
    </row>
    <row r="20" spans="1:20" s="37" customFormat="1" hidden="1" x14ac:dyDescent="0.2">
      <c r="B20" s="37" t="s">
        <v>651</v>
      </c>
      <c r="C20" s="915">
        <v>0</v>
      </c>
      <c r="D20" s="915">
        <v>0</v>
      </c>
      <c r="E20" s="915">
        <v>0</v>
      </c>
      <c r="F20" s="915">
        <v>0</v>
      </c>
      <c r="G20" s="915">
        <v>0</v>
      </c>
      <c r="H20" s="915">
        <v>0</v>
      </c>
      <c r="I20" s="915">
        <v>0</v>
      </c>
      <c r="J20" s="915">
        <v>0</v>
      </c>
      <c r="K20" s="915">
        <v>0</v>
      </c>
      <c r="L20" s="915">
        <v>0</v>
      </c>
      <c r="M20" s="915">
        <v>0</v>
      </c>
      <c r="N20" s="915">
        <v>0</v>
      </c>
      <c r="O20" s="915">
        <v>0</v>
      </c>
      <c r="P20" s="915">
        <v>0</v>
      </c>
      <c r="Q20" s="915" t="str">
        <f t="shared" si="0"/>
        <v>Interest</v>
      </c>
      <c r="R20" s="936">
        <f t="shared" si="1"/>
        <v>0</v>
      </c>
      <c r="S20" s="38"/>
      <c r="T20" s="519"/>
    </row>
    <row r="21" spans="1:20" s="37" customFormat="1" hidden="1" x14ac:dyDescent="0.2">
      <c r="B21" s="37" t="s">
        <v>652</v>
      </c>
      <c r="C21" s="915">
        <v>0</v>
      </c>
      <c r="D21" s="915">
        <v>0</v>
      </c>
      <c r="E21" s="915">
        <v>0</v>
      </c>
      <c r="F21" s="915">
        <v>0</v>
      </c>
      <c r="G21" s="915">
        <v>0</v>
      </c>
      <c r="H21" s="915">
        <v>0</v>
      </c>
      <c r="I21" s="915">
        <v>0</v>
      </c>
      <c r="J21" s="915">
        <v>0</v>
      </c>
      <c r="K21" s="915">
        <v>0</v>
      </c>
      <c r="L21" s="915">
        <v>0</v>
      </c>
      <c r="M21" s="915">
        <v>0</v>
      </c>
      <c r="N21" s="915">
        <v>0</v>
      </c>
      <c r="O21" s="915">
        <v>0</v>
      </c>
      <c r="P21" s="915">
        <v>0</v>
      </c>
      <c r="Q21" s="915" t="str">
        <f t="shared" si="0"/>
        <v>Dividends</v>
      </c>
      <c r="R21" s="936">
        <f t="shared" si="1"/>
        <v>0</v>
      </c>
      <c r="S21" s="38"/>
      <c r="T21" s="519"/>
    </row>
    <row r="22" spans="1:20" s="37" customFormat="1" hidden="1" x14ac:dyDescent="0.2">
      <c r="B22" s="37" t="s">
        <v>653</v>
      </c>
      <c r="C22" s="915">
        <v>0</v>
      </c>
      <c r="D22" s="915">
        <v>0</v>
      </c>
      <c r="E22" s="915">
        <v>0</v>
      </c>
      <c r="F22" s="915">
        <v>0</v>
      </c>
      <c r="G22" s="915">
        <v>0</v>
      </c>
      <c r="H22" s="915">
        <v>0</v>
      </c>
      <c r="I22" s="915">
        <v>0</v>
      </c>
      <c r="J22" s="915">
        <v>0</v>
      </c>
      <c r="K22" s="915">
        <v>0</v>
      </c>
      <c r="L22" s="915">
        <v>0</v>
      </c>
      <c r="M22" s="915">
        <v>0</v>
      </c>
      <c r="N22" s="915">
        <v>0</v>
      </c>
      <c r="O22" s="915">
        <v>0</v>
      </c>
      <c r="P22" s="915">
        <v>0</v>
      </c>
      <c r="Q22" s="915" t="str">
        <f t="shared" si="0"/>
        <v>Unrealized Gain/Losses</v>
      </c>
      <c r="R22" s="936">
        <f t="shared" si="1"/>
        <v>0</v>
      </c>
      <c r="S22" s="38"/>
      <c r="T22" s="519"/>
    </row>
    <row r="23" spans="1:20" s="37" customFormat="1" hidden="1" x14ac:dyDescent="0.2">
      <c r="B23" s="37" t="s">
        <v>654</v>
      </c>
      <c r="C23" s="915">
        <v>0</v>
      </c>
      <c r="D23" s="915">
        <v>0</v>
      </c>
      <c r="E23" s="915">
        <v>0</v>
      </c>
      <c r="F23" s="915">
        <v>0</v>
      </c>
      <c r="G23" s="915">
        <v>0</v>
      </c>
      <c r="H23" s="915">
        <v>0</v>
      </c>
      <c r="I23" s="915">
        <v>0</v>
      </c>
      <c r="J23" s="915">
        <v>0</v>
      </c>
      <c r="K23" s="915">
        <v>0</v>
      </c>
      <c r="L23" s="915">
        <v>0</v>
      </c>
      <c r="M23" s="915">
        <v>0</v>
      </c>
      <c r="N23" s="915">
        <v>0</v>
      </c>
      <c r="O23" s="915">
        <v>0</v>
      </c>
      <c r="P23" s="915">
        <v>0</v>
      </c>
      <c r="Q23" s="915" t="str">
        <f t="shared" si="0"/>
        <v>After School Program Fees</v>
      </c>
      <c r="R23" s="936">
        <f t="shared" si="1"/>
        <v>0</v>
      </c>
      <c r="S23" s="38"/>
      <c r="T23" s="519"/>
    </row>
    <row r="24" spans="1:20" s="37" customFormat="1" hidden="1" x14ac:dyDescent="0.2">
      <c r="B24" s="37" t="s">
        <v>552</v>
      </c>
      <c r="C24" s="915">
        <v>0</v>
      </c>
      <c r="D24" s="915">
        <v>0</v>
      </c>
      <c r="E24" s="915">
        <v>0</v>
      </c>
      <c r="F24" s="915">
        <v>0</v>
      </c>
      <c r="G24" s="915">
        <v>0</v>
      </c>
      <c r="H24" s="915">
        <v>0</v>
      </c>
      <c r="I24" s="915">
        <v>0</v>
      </c>
      <c r="J24" s="915">
        <v>0</v>
      </c>
      <c r="K24" s="915">
        <v>0</v>
      </c>
      <c r="L24" s="915">
        <v>0</v>
      </c>
      <c r="M24" s="915">
        <v>0</v>
      </c>
      <c r="N24" s="915">
        <v>0</v>
      </c>
      <c r="O24" s="915">
        <v>0</v>
      </c>
      <c r="P24" s="915">
        <v>0</v>
      </c>
      <c r="Q24" s="915" t="str">
        <f t="shared" si="0"/>
        <v>Direct District Activities Revenue</v>
      </c>
      <c r="R24" s="936">
        <f t="shared" si="1"/>
        <v>0</v>
      </c>
      <c r="S24" s="38"/>
      <c r="T24" s="519"/>
    </row>
    <row r="25" spans="1:20" s="37" customFormat="1" x14ac:dyDescent="0.2">
      <c r="B25" s="37" t="s">
        <v>286</v>
      </c>
      <c r="C25" s="915">
        <v>0</v>
      </c>
      <c r="D25" s="915">
        <v>0</v>
      </c>
      <c r="E25" s="915">
        <v>0</v>
      </c>
      <c r="F25" s="915">
        <v>0</v>
      </c>
      <c r="G25" s="915">
        <v>0</v>
      </c>
      <c r="H25" s="915">
        <v>0</v>
      </c>
      <c r="I25" s="915">
        <v>0</v>
      </c>
      <c r="J25" s="915">
        <v>0</v>
      </c>
      <c r="K25" s="915">
        <v>0</v>
      </c>
      <c r="L25" s="915">
        <v>0</v>
      </c>
      <c r="M25" s="915">
        <v>0</v>
      </c>
      <c r="N25" s="915">
        <v>0</v>
      </c>
      <c r="O25" s="915">
        <v>24765</v>
      </c>
      <c r="P25" s="915">
        <v>0</v>
      </c>
      <c r="Q25" s="915" t="str">
        <f t="shared" si="0"/>
        <v>Daily Sales - Food Services</v>
      </c>
      <c r="R25" s="936">
        <f t="shared" si="1"/>
        <v>24765</v>
      </c>
      <c r="S25" s="38"/>
      <c r="T25" s="519"/>
    </row>
    <row r="26" spans="1:20" s="37" customFormat="1" x14ac:dyDescent="0.2">
      <c r="A26" s="37">
        <v>1900</v>
      </c>
      <c r="B26" s="37" t="s">
        <v>280</v>
      </c>
      <c r="C26" s="915">
        <v>23774</v>
      </c>
      <c r="D26" s="915">
        <v>0</v>
      </c>
      <c r="E26" s="915">
        <v>0</v>
      </c>
      <c r="F26" s="915">
        <v>0</v>
      </c>
      <c r="G26" s="915">
        <v>0</v>
      </c>
      <c r="H26" s="915">
        <v>0</v>
      </c>
      <c r="I26" s="915">
        <v>0</v>
      </c>
      <c r="J26" s="915">
        <v>0</v>
      </c>
      <c r="K26" s="915">
        <v>0</v>
      </c>
      <c r="L26" s="915">
        <v>0</v>
      </c>
      <c r="M26" s="915">
        <v>0</v>
      </c>
      <c r="N26" s="915">
        <v>0</v>
      </c>
      <c r="O26" s="915">
        <v>0</v>
      </c>
      <c r="P26" s="915">
        <v>0</v>
      </c>
      <c r="Q26" s="915" t="str">
        <f t="shared" si="0"/>
        <v>Other Revenues</v>
      </c>
      <c r="R26" s="936">
        <f t="shared" si="1"/>
        <v>23774</v>
      </c>
      <c r="S26" s="38"/>
      <c r="T26" s="519"/>
    </row>
    <row r="27" spans="1:20" s="37" customFormat="1" x14ac:dyDescent="0.2">
      <c r="B27" s="37" t="s">
        <v>288</v>
      </c>
      <c r="C27" s="915">
        <v>0</v>
      </c>
      <c r="D27" s="915">
        <v>0</v>
      </c>
      <c r="E27" s="915">
        <v>0</v>
      </c>
      <c r="F27" s="915">
        <v>0</v>
      </c>
      <c r="G27" s="915">
        <v>0</v>
      </c>
      <c r="H27" s="915">
        <v>0</v>
      </c>
      <c r="I27" s="915">
        <v>0</v>
      </c>
      <c r="J27" s="915">
        <v>0</v>
      </c>
      <c r="K27" s="915">
        <v>0</v>
      </c>
      <c r="L27" s="915">
        <v>0</v>
      </c>
      <c r="M27" s="915">
        <v>66300</v>
      </c>
      <c r="N27" s="915">
        <v>0</v>
      </c>
      <c r="O27" s="915">
        <v>0</v>
      </c>
      <c r="P27" s="915">
        <v>0</v>
      </c>
      <c r="Q27" s="915" t="str">
        <f t="shared" si="0"/>
        <v>Donations</v>
      </c>
      <c r="R27" s="936">
        <f t="shared" si="1"/>
        <v>66300</v>
      </c>
      <c r="S27" s="38"/>
      <c r="T27" s="519"/>
    </row>
    <row r="28" spans="1:20" s="37" customFormat="1" hidden="1" x14ac:dyDescent="0.2">
      <c r="B28" s="37" t="s">
        <v>287</v>
      </c>
      <c r="C28" s="915">
        <v>0</v>
      </c>
      <c r="D28" s="915">
        <v>0</v>
      </c>
      <c r="E28" s="915">
        <v>0</v>
      </c>
      <c r="F28" s="915">
        <v>0</v>
      </c>
      <c r="G28" s="915">
        <v>0</v>
      </c>
      <c r="H28" s="915">
        <v>0</v>
      </c>
      <c r="I28" s="915">
        <v>0</v>
      </c>
      <c r="J28" s="915">
        <v>0</v>
      </c>
      <c r="K28" s="915">
        <v>0</v>
      </c>
      <c r="L28" s="915">
        <v>0</v>
      </c>
      <c r="M28" s="915">
        <v>0</v>
      </c>
      <c r="N28" s="915">
        <v>0</v>
      </c>
      <c r="O28" s="915">
        <v>0</v>
      </c>
      <c r="P28" s="915">
        <v>0</v>
      </c>
      <c r="Q28" s="915" t="str">
        <f t="shared" si="0"/>
        <v>Rentals</v>
      </c>
      <c r="R28" s="936">
        <f t="shared" si="1"/>
        <v>0</v>
      </c>
      <c r="S28" s="38"/>
      <c r="T28" s="519"/>
    </row>
    <row r="29" spans="1:20" s="37" customFormat="1" hidden="1" x14ac:dyDescent="0.2">
      <c r="B29" s="37" t="s">
        <v>598</v>
      </c>
      <c r="C29" s="915">
        <v>0</v>
      </c>
      <c r="D29" s="915">
        <v>0</v>
      </c>
      <c r="E29" s="915">
        <v>0</v>
      </c>
      <c r="F29" s="915">
        <v>0</v>
      </c>
      <c r="G29" s="915">
        <v>0</v>
      </c>
      <c r="H29" s="915">
        <v>0</v>
      </c>
      <c r="I29" s="915">
        <v>0</v>
      </c>
      <c r="J29" s="915">
        <v>0</v>
      </c>
      <c r="K29" s="915">
        <v>0</v>
      </c>
      <c r="L29" s="915">
        <v>0</v>
      </c>
      <c r="M29" s="915">
        <v>0</v>
      </c>
      <c r="N29" s="915">
        <v>0</v>
      </c>
      <c r="O29" s="915">
        <v>0</v>
      </c>
      <c r="P29" s="915">
        <v>0</v>
      </c>
      <c r="Q29" s="915" t="str">
        <f t="shared" si="0"/>
        <v>Services Provided Other Govts</v>
      </c>
      <c r="R29" s="936">
        <f t="shared" si="1"/>
        <v>0</v>
      </c>
      <c r="S29" s="38"/>
      <c r="T29" s="519"/>
    </row>
    <row r="30" spans="1:20" s="37" customFormat="1" x14ac:dyDescent="0.2">
      <c r="B30" s="37" t="s">
        <v>289</v>
      </c>
      <c r="C30" s="915">
        <v>5000</v>
      </c>
      <c r="D30" s="915">
        <v>0</v>
      </c>
      <c r="E30" s="915">
        <v>0</v>
      </c>
      <c r="F30" s="915">
        <v>0</v>
      </c>
      <c r="G30" s="915">
        <v>0</v>
      </c>
      <c r="H30" s="915">
        <v>0</v>
      </c>
      <c r="I30" s="915">
        <v>0</v>
      </c>
      <c r="J30" s="915">
        <v>0</v>
      </c>
      <c r="K30" s="915">
        <v>0</v>
      </c>
      <c r="L30" s="915">
        <v>0</v>
      </c>
      <c r="M30" s="915">
        <v>0</v>
      </c>
      <c r="N30" s="915">
        <v>0</v>
      </c>
      <c r="O30" s="915">
        <v>0</v>
      </c>
      <c r="P30" s="915">
        <v>0</v>
      </c>
      <c r="Q30" s="915" t="str">
        <f t="shared" si="0"/>
        <v>Miscellaneous</v>
      </c>
      <c r="R30" s="936">
        <f t="shared" si="1"/>
        <v>5000</v>
      </c>
      <c r="S30" s="38"/>
      <c r="T30" s="519"/>
    </row>
    <row r="31" spans="1:20" s="37" customFormat="1" x14ac:dyDescent="0.2">
      <c r="B31" s="37" t="s">
        <v>681</v>
      </c>
      <c r="C31" s="915">
        <v>152540</v>
      </c>
      <c r="D31" s="915">
        <v>0</v>
      </c>
      <c r="E31" s="915">
        <v>0</v>
      </c>
      <c r="F31" s="915">
        <v>0</v>
      </c>
      <c r="G31" s="915">
        <v>0</v>
      </c>
      <c r="H31" s="915">
        <v>0</v>
      </c>
      <c r="I31" s="915">
        <v>0</v>
      </c>
      <c r="J31" s="915">
        <v>0</v>
      </c>
      <c r="K31" s="915">
        <v>0</v>
      </c>
      <c r="L31" s="915">
        <v>0</v>
      </c>
      <c r="M31" s="915">
        <v>0</v>
      </c>
      <c r="N31" s="915">
        <v>0</v>
      </c>
      <c r="O31" s="915">
        <v>0</v>
      </c>
      <c r="P31" s="915">
        <v>0</v>
      </c>
      <c r="Q31" s="915" t="str">
        <f t="shared" si="0"/>
        <v>Local Safety Grant</v>
      </c>
      <c r="R31" s="936">
        <f t="shared" si="1"/>
        <v>152540</v>
      </c>
      <c r="S31" s="38"/>
      <c r="T31" s="519"/>
    </row>
    <row r="32" spans="1:20" s="37" customFormat="1" hidden="1" x14ac:dyDescent="0.2">
      <c r="B32" s="37" t="s">
        <v>656</v>
      </c>
      <c r="C32" s="915">
        <v>0</v>
      </c>
      <c r="D32" s="915">
        <v>0</v>
      </c>
      <c r="E32" s="915">
        <v>0</v>
      </c>
      <c r="F32" s="915">
        <v>0</v>
      </c>
      <c r="G32" s="915">
        <v>0</v>
      </c>
      <c r="H32" s="915">
        <v>0</v>
      </c>
      <c r="I32" s="915">
        <v>0</v>
      </c>
      <c r="J32" s="915">
        <v>0</v>
      </c>
      <c r="K32" s="915">
        <v>0</v>
      </c>
      <c r="L32" s="915">
        <v>0</v>
      </c>
      <c r="M32" s="915">
        <v>0</v>
      </c>
      <c r="N32" s="915">
        <v>0</v>
      </c>
      <c r="O32" s="915">
        <v>0</v>
      </c>
      <c r="P32" s="915">
        <v>0</v>
      </c>
      <c r="Q32" s="915" t="str">
        <f t="shared" si="0"/>
        <v>Use of Buildings</v>
      </c>
      <c r="R32" s="936">
        <f t="shared" si="1"/>
        <v>0</v>
      </c>
      <c r="S32" s="38"/>
      <c r="T32" s="519"/>
    </row>
    <row r="33" spans="2:20" s="37" customFormat="1" hidden="1" x14ac:dyDescent="0.2">
      <c r="B33" s="37" t="s">
        <v>290</v>
      </c>
      <c r="C33" s="915">
        <v>0</v>
      </c>
      <c r="D33" s="915">
        <v>0</v>
      </c>
      <c r="E33" s="915">
        <v>0</v>
      </c>
      <c r="F33" s="915">
        <v>0</v>
      </c>
      <c r="G33" s="915">
        <v>0</v>
      </c>
      <c r="H33" s="915">
        <v>0</v>
      </c>
      <c r="I33" s="915">
        <v>0</v>
      </c>
      <c r="J33" s="915">
        <v>0</v>
      </c>
      <c r="K33" s="915">
        <v>0</v>
      </c>
      <c r="L33" s="915">
        <v>0</v>
      </c>
      <c r="M33" s="915">
        <v>0</v>
      </c>
      <c r="N33" s="915">
        <v>0</v>
      </c>
      <c r="O33" s="915">
        <v>0</v>
      </c>
      <c r="P33" s="915">
        <v>0</v>
      </c>
      <c r="Q33" s="915" t="str">
        <f t="shared" si="0"/>
        <v>Indirect Costs</v>
      </c>
      <c r="R33" s="936">
        <f t="shared" si="1"/>
        <v>0</v>
      </c>
      <c r="S33" s="38"/>
      <c r="T33" s="519"/>
    </row>
    <row r="34" spans="2:20" hidden="1" x14ac:dyDescent="0.2">
      <c r="B34" s="3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08"/>
      <c r="R34" s="908"/>
    </row>
    <row r="35" spans="2:20" s="2" customFormat="1" x14ac:dyDescent="0.2">
      <c r="B35" s="39" t="s">
        <v>124</v>
      </c>
      <c r="C35" s="931">
        <f>SUM(C4:C34)</f>
        <v>2142754</v>
      </c>
      <c r="D35" s="931">
        <f t="shared" ref="D35:P35" si="3">SUM(D4:D34)</f>
        <v>420170</v>
      </c>
      <c r="E35" s="931">
        <f t="shared" si="3"/>
        <v>0</v>
      </c>
      <c r="F35" s="931">
        <f t="shared" si="3"/>
        <v>0</v>
      </c>
      <c r="G35" s="931">
        <f t="shared" si="3"/>
        <v>0</v>
      </c>
      <c r="H35" s="931">
        <f t="shared" si="3"/>
        <v>0</v>
      </c>
      <c r="I35" s="931">
        <f t="shared" si="3"/>
        <v>0</v>
      </c>
      <c r="J35" s="931">
        <f t="shared" si="3"/>
        <v>0</v>
      </c>
      <c r="K35" s="931">
        <f t="shared" si="3"/>
        <v>0</v>
      </c>
      <c r="L35" s="931">
        <f t="shared" si="3"/>
        <v>0</v>
      </c>
      <c r="M35" s="931">
        <f t="shared" si="3"/>
        <v>109496</v>
      </c>
      <c r="N35" s="931">
        <f t="shared" si="3"/>
        <v>200</v>
      </c>
      <c r="O35" s="931">
        <f t="shared" si="3"/>
        <v>24765</v>
      </c>
      <c r="P35" s="931">
        <f t="shared" si="3"/>
        <v>0</v>
      </c>
      <c r="Q35" s="930">
        <f>SUM(C35:P35)</f>
        <v>2697385</v>
      </c>
      <c r="R35" s="903"/>
      <c r="T35" s="53"/>
    </row>
    <row r="36" spans="2:20" x14ac:dyDescent="0.2">
      <c r="B36" s="16"/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22"/>
      <c r="R36" s="908"/>
    </row>
    <row r="37" spans="2:20" x14ac:dyDescent="0.2">
      <c r="B37" s="37" t="s">
        <v>291</v>
      </c>
      <c r="C37" s="913">
        <v>4624530</v>
      </c>
      <c r="D37" s="913">
        <v>0</v>
      </c>
      <c r="E37" s="913">
        <v>0</v>
      </c>
      <c r="F37" s="913">
        <v>0</v>
      </c>
      <c r="G37" s="913">
        <v>0</v>
      </c>
      <c r="H37" s="913">
        <v>0</v>
      </c>
      <c r="I37" s="913">
        <v>0</v>
      </c>
      <c r="J37" s="913">
        <v>0</v>
      </c>
      <c r="K37" s="913">
        <v>0</v>
      </c>
      <c r="L37" s="913">
        <v>0</v>
      </c>
      <c r="M37" s="913">
        <v>0</v>
      </c>
      <c r="N37" s="913">
        <v>0</v>
      </c>
      <c r="O37" s="913">
        <v>0</v>
      </c>
      <c r="P37" s="913">
        <v>0</v>
      </c>
      <c r="Q37" s="919" t="str">
        <f t="shared" ref="Q37:Q46" si="4">B37</f>
        <v>Distributive School Fund (DSA)</v>
      </c>
      <c r="R37" s="919">
        <f t="shared" ref="R37:R46" si="5">SUM(C37:P37)</f>
        <v>4624530</v>
      </c>
      <c r="S37" s="44"/>
    </row>
    <row r="38" spans="2:20" hidden="1" x14ac:dyDescent="0.2">
      <c r="B38" s="37" t="s">
        <v>292</v>
      </c>
      <c r="C38" s="913">
        <v>0</v>
      </c>
      <c r="D38" s="913">
        <v>0</v>
      </c>
      <c r="E38" s="913">
        <v>0</v>
      </c>
      <c r="F38" s="913">
        <v>0</v>
      </c>
      <c r="G38" s="913">
        <v>0</v>
      </c>
      <c r="H38" s="913">
        <v>0</v>
      </c>
      <c r="I38" s="913">
        <v>0</v>
      </c>
      <c r="J38" s="913">
        <v>0</v>
      </c>
      <c r="K38" s="913">
        <v>0</v>
      </c>
      <c r="L38" s="913">
        <v>0</v>
      </c>
      <c r="M38" s="913">
        <v>0</v>
      </c>
      <c r="N38" s="913">
        <v>0</v>
      </c>
      <c r="O38" s="913">
        <v>0</v>
      </c>
      <c r="P38" s="913">
        <v>0</v>
      </c>
      <c r="Q38" s="919" t="str">
        <f t="shared" si="4"/>
        <v>DSA Charter Reduction-Outside Revs</v>
      </c>
      <c r="R38" s="919">
        <f t="shared" si="5"/>
        <v>0</v>
      </c>
      <c r="S38" s="44"/>
    </row>
    <row r="39" spans="2:20" x14ac:dyDescent="0.2">
      <c r="B39" s="37" t="s">
        <v>293</v>
      </c>
      <c r="C39" s="913">
        <v>0</v>
      </c>
      <c r="D39" s="913">
        <v>0</v>
      </c>
      <c r="E39" s="913">
        <v>502135</v>
      </c>
      <c r="F39" s="913">
        <v>0</v>
      </c>
      <c r="G39" s="913">
        <v>0</v>
      </c>
      <c r="H39" s="913">
        <v>0</v>
      </c>
      <c r="I39" s="913">
        <v>0</v>
      </c>
      <c r="J39" s="913">
        <v>0</v>
      </c>
      <c r="K39" s="913">
        <v>0</v>
      </c>
      <c r="L39" s="913">
        <v>0</v>
      </c>
      <c r="M39" s="913">
        <v>0</v>
      </c>
      <c r="N39" s="913">
        <v>0</v>
      </c>
      <c r="O39" s="913">
        <v>0</v>
      </c>
      <c r="P39" s="913">
        <v>0</v>
      </c>
      <c r="Q39" s="919" t="str">
        <f t="shared" si="4"/>
        <v>Special Education - DSA Funding</v>
      </c>
      <c r="R39" s="919">
        <f t="shared" si="5"/>
        <v>502135</v>
      </c>
      <c r="S39" s="44"/>
    </row>
    <row r="40" spans="2:20" hidden="1" x14ac:dyDescent="0.2">
      <c r="B40" s="37" t="s">
        <v>475</v>
      </c>
      <c r="C40" s="913">
        <v>0</v>
      </c>
      <c r="D40" s="913">
        <v>0</v>
      </c>
      <c r="E40" s="913">
        <v>0</v>
      </c>
      <c r="F40" s="913">
        <v>0</v>
      </c>
      <c r="G40" s="913">
        <v>0</v>
      </c>
      <c r="H40" s="913">
        <v>0</v>
      </c>
      <c r="I40" s="913">
        <v>0</v>
      </c>
      <c r="J40" s="913">
        <v>0</v>
      </c>
      <c r="K40" s="913">
        <v>0</v>
      </c>
      <c r="L40" s="913">
        <v>0</v>
      </c>
      <c r="M40" s="913">
        <v>0</v>
      </c>
      <c r="N40" s="913">
        <v>0</v>
      </c>
      <c r="O40" s="913">
        <v>0</v>
      </c>
      <c r="P40" s="913">
        <v>0</v>
      </c>
      <c r="Q40" s="919" t="str">
        <f t="shared" si="4"/>
        <v>Counseling - DSA Funding</v>
      </c>
      <c r="R40" s="919">
        <f t="shared" si="5"/>
        <v>0</v>
      </c>
      <c r="S40" s="44"/>
    </row>
    <row r="41" spans="2:20" hidden="1" x14ac:dyDescent="0.2">
      <c r="B41" s="37" t="s">
        <v>294</v>
      </c>
      <c r="C41" s="913">
        <v>0</v>
      </c>
      <c r="D41" s="913">
        <v>0</v>
      </c>
      <c r="E41" s="913">
        <v>0</v>
      </c>
      <c r="F41" s="913">
        <v>0</v>
      </c>
      <c r="G41" s="913">
        <v>0</v>
      </c>
      <c r="H41" s="913">
        <v>0</v>
      </c>
      <c r="I41" s="913">
        <v>0</v>
      </c>
      <c r="J41" s="913">
        <v>0</v>
      </c>
      <c r="K41" s="913">
        <v>0</v>
      </c>
      <c r="L41" s="913">
        <v>0</v>
      </c>
      <c r="M41" s="913">
        <v>0</v>
      </c>
      <c r="N41" s="913">
        <v>0</v>
      </c>
      <c r="O41" s="913">
        <v>0</v>
      </c>
      <c r="P41" s="913">
        <v>0</v>
      </c>
      <c r="Q41" s="919" t="str">
        <f t="shared" si="4"/>
        <v>State Food Aid</v>
      </c>
      <c r="R41" s="919">
        <f t="shared" si="5"/>
        <v>0</v>
      </c>
      <c r="S41" s="44"/>
    </row>
    <row r="42" spans="2:20" x14ac:dyDescent="0.2">
      <c r="B42" s="37" t="s">
        <v>295</v>
      </c>
      <c r="C42" s="913">
        <v>0</v>
      </c>
      <c r="D42" s="913">
        <v>0</v>
      </c>
      <c r="E42" s="913">
        <v>0</v>
      </c>
      <c r="F42" s="913">
        <v>0</v>
      </c>
      <c r="G42" s="913">
        <v>1051903</v>
      </c>
      <c r="H42" s="913">
        <v>0</v>
      </c>
      <c r="I42" s="913">
        <v>0</v>
      </c>
      <c r="J42" s="913">
        <v>0</v>
      </c>
      <c r="K42" s="913">
        <v>0</v>
      </c>
      <c r="L42" s="913">
        <v>0</v>
      </c>
      <c r="M42" s="913">
        <v>0</v>
      </c>
      <c r="N42" s="913">
        <v>0</v>
      </c>
      <c r="O42" s="913">
        <v>0</v>
      </c>
      <c r="P42" s="913">
        <v>0</v>
      </c>
      <c r="Q42" s="919" t="str">
        <f t="shared" si="4"/>
        <v>Restricted Funding/Grants-in-aid rev</v>
      </c>
      <c r="R42" s="919">
        <f t="shared" si="5"/>
        <v>1051903</v>
      </c>
      <c r="S42" s="44"/>
    </row>
    <row r="43" spans="2:20" x14ac:dyDescent="0.2">
      <c r="B43" s="37" t="s">
        <v>682</v>
      </c>
      <c r="C43" s="913">
        <v>0</v>
      </c>
      <c r="D43" s="913">
        <v>0</v>
      </c>
      <c r="E43" s="913">
        <v>0</v>
      </c>
      <c r="F43" s="913">
        <v>63594</v>
      </c>
      <c r="G43" s="913">
        <v>0</v>
      </c>
      <c r="H43" s="913">
        <v>0</v>
      </c>
      <c r="I43" s="913">
        <v>0</v>
      </c>
      <c r="J43" s="913">
        <v>0</v>
      </c>
      <c r="K43" s="913">
        <v>0</v>
      </c>
      <c r="L43" s="913">
        <v>0</v>
      </c>
      <c r="M43" s="913">
        <v>0</v>
      </c>
      <c r="N43" s="913">
        <v>0</v>
      </c>
      <c r="O43" s="913">
        <v>0</v>
      </c>
      <c r="P43" s="913">
        <v>0</v>
      </c>
      <c r="Q43" s="919" t="str">
        <f t="shared" si="4"/>
        <v xml:space="preserve">Adult High School Diploma </v>
      </c>
      <c r="R43" s="919">
        <f t="shared" si="5"/>
        <v>63594</v>
      </c>
      <c r="S43" s="44"/>
    </row>
    <row r="44" spans="2:20" hidden="1" x14ac:dyDescent="0.2">
      <c r="B44" s="37" t="s">
        <v>553</v>
      </c>
      <c r="C44" s="913">
        <v>0</v>
      </c>
      <c r="D44" s="913">
        <v>0</v>
      </c>
      <c r="E44" s="913">
        <v>0</v>
      </c>
      <c r="F44" s="913">
        <v>0</v>
      </c>
      <c r="G44" s="913">
        <v>0</v>
      </c>
      <c r="H44" s="913">
        <v>0</v>
      </c>
      <c r="I44" s="913">
        <v>0</v>
      </c>
      <c r="J44" s="913">
        <v>0</v>
      </c>
      <c r="K44" s="913">
        <v>0</v>
      </c>
      <c r="L44" s="913">
        <v>0</v>
      </c>
      <c r="M44" s="913">
        <v>0</v>
      </c>
      <c r="N44" s="913">
        <v>0</v>
      </c>
      <c r="O44" s="913">
        <v>0</v>
      </c>
      <c r="P44" s="913">
        <v>0</v>
      </c>
      <c r="Q44" s="919" t="str">
        <f t="shared" si="4"/>
        <v>SB 178 NV Education Fund Plan</v>
      </c>
      <c r="R44" s="919">
        <f t="shared" si="5"/>
        <v>0</v>
      </c>
      <c r="S44" s="44"/>
    </row>
    <row r="45" spans="2:20" x14ac:dyDescent="0.2">
      <c r="B45" s="37" t="s">
        <v>191</v>
      </c>
      <c r="C45" s="913">
        <v>0</v>
      </c>
      <c r="D45" s="913">
        <v>0</v>
      </c>
      <c r="E45" s="913">
        <v>0</v>
      </c>
      <c r="F45" s="913">
        <v>0</v>
      </c>
      <c r="G45" s="913">
        <v>0</v>
      </c>
      <c r="H45" s="913">
        <v>0</v>
      </c>
      <c r="I45" s="913">
        <v>171715</v>
      </c>
      <c r="J45" s="913">
        <v>0</v>
      </c>
      <c r="K45" s="913">
        <v>0</v>
      </c>
      <c r="L45" s="913">
        <v>0</v>
      </c>
      <c r="M45" s="913">
        <v>0</v>
      </c>
      <c r="N45" s="913">
        <v>0</v>
      </c>
      <c r="O45" s="913">
        <v>0</v>
      </c>
      <c r="P45" s="913">
        <v>0</v>
      </c>
      <c r="Q45" s="919" t="str">
        <f t="shared" si="4"/>
        <v>Class Size Reduction</v>
      </c>
      <c r="R45" s="919">
        <f t="shared" si="5"/>
        <v>171715</v>
      </c>
      <c r="S45" s="44"/>
    </row>
    <row r="46" spans="2:20" hidden="1" x14ac:dyDescent="0.2">
      <c r="B46" s="37" t="s">
        <v>386</v>
      </c>
      <c r="C46" s="913">
        <v>0</v>
      </c>
      <c r="D46" s="913">
        <v>0</v>
      </c>
      <c r="E46" s="913">
        <v>0</v>
      </c>
      <c r="F46" s="913">
        <v>0</v>
      </c>
      <c r="G46" s="913">
        <v>0</v>
      </c>
      <c r="H46" s="913">
        <v>0</v>
      </c>
      <c r="I46" s="913">
        <v>0</v>
      </c>
      <c r="J46" s="913">
        <v>0</v>
      </c>
      <c r="K46" s="913">
        <v>0</v>
      </c>
      <c r="L46" s="913">
        <v>0</v>
      </c>
      <c r="M46" s="913">
        <v>0</v>
      </c>
      <c r="N46" s="913">
        <v>0</v>
      </c>
      <c r="O46" s="913">
        <v>0</v>
      </c>
      <c r="P46" s="913">
        <v>0</v>
      </c>
      <c r="Q46" s="919" t="str">
        <f t="shared" si="4"/>
        <v>For/on behalf of School District</v>
      </c>
      <c r="R46" s="919">
        <f t="shared" si="5"/>
        <v>0</v>
      </c>
      <c r="S46" s="44"/>
    </row>
    <row r="47" spans="2:20" hidden="1" x14ac:dyDescent="0.2">
      <c r="C47" s="916"/>
      <c r="D47" s="916"/>
      <c r="E47" s="916"/>
      <c r="F47" s="916"/>
      <c r="G47" s="916"/>
      <c r="H47" s="916"/>
      <c r="I47" s="916"/>
      <c r="J47" s="916"/>
      <c r="K47" s="916"/>
      <c r="L47" s="916"/>
      <c r="M47" s="916"/>
      <c r="N47" s="916"/>
      <c r="O47" s="916"/>
      <c r="P47" s="916"/>
      <c r="Q47" s="922"/>
      <c r="R47" s="908"/>
    </row>
    <row r="48" spans="2:20" s="2" customFormat="1" x14ac:dyDescent="0.2">
      <c r="B48" s="39" t="s">
        <v>125</v>
      </c>
      <c r="C48" s="931">
        <f>SUM(C36:C47)</f>
        <v>4624530</v>
      </c>
      <c r="D48" s="931">
        <f t="shared" ref="D48:P48" si="6">SUM(D36:D47)</f>
        <v>0</v>
      </c>
      <c r="E48" s="931">
        <f t="shared" si="6"/>
        <v>502135</v>
      </c>
      <c r="F48" s="931">
        <f t="shared" si="6"/>
        <v>63594</v>
      </c>
      <c r="G48" s="931">
        <f t="shared" si="6"/>
        <v>1051903</v>
      </c>
      <c r="H48" s="931">
        <f t="shared" si="6"/>
        <v>0</v>
      </c>
      <c r="I48" s="931">
        <f t="shared" si="6"/>
        <v>171715</v>
      </c>
      <c r="J48" s="931">
        <f t="shared" si="6"/>
        <v>0</v>
      </c>
      <c r="K48" s="931">
        <f t="shared" si="6"/>
        <v>0</v>
      </c>
      <c r="L48" s="931">
        <f t="shared" si="6"/>
        <v>0</v>
      </c>
      <c r="M48" s="931">
        <f t="shared" si="6"/>
        <v>0</v>
      </c>
      <c r="N48" s="931">
        <f t="shared" si="6"/>
        <v>0</v>
      </c>
      <c r="O48" s="931">
        <f t="shared" si="6"/>
        <v>0</v>
      </c>
      <c r="P48" s="931">
        <f t="shared" si="6"/>
        <v>0</v>
      </c>
      <c r="Q48" s="930">
        <f>SUM(C48:P48)</f>
        <v>6413877</v>
      </c>
      <c r="R48" s="903"/>
      <c r="T48" s="53"/>
    </row>
    <row r="49" spans="1:20" x14ac:dyDescent="0.2">
      <c r="B49" s="16"/>
      <c r="C49" s="916"/>
      <c r="D49" s="916"/>
      <c r="E49" s="916"/>
      <c r="F49" s="916"/>
      <c r="G49" s="916"/>
      <c r="H49" s="916"/>
      <c r="I49" s="916"/>
      <c r="J49" s="916"/>
      <c r="K49" s="916"/>
      <c r="L49" s="916"/>
      <c r="M49" s="916"/>
      <c r="N49" s="916"/>
      <c r="O49" s="916"/>
      <c r="P49" s="916"/>
      <c r="Q49" s="922"/>
      <c r="R49" s="908"/>
    </row>
    <row r="50" spans="1:20" s="37" customFormat="1" x14ac:dyDescent="0.2">
      <c r="A50" s="45"/>
      <c r="B50" s="37" t="s">
        <v>658</v>
      </c>
      <c r="C50" s="920">
        <v>0</v>
      </c>
      <c r="D50" s="920">
        <v>0</v>
      </c>
      <c r="E50" s="920">
        <v>0</v>
      </c>
      <c r="F50" s="920">
        <v>0</v>
      </c>
      <c r="G50" s="920">
        <v>0</v>
      </c>
      <c r="H50" s="920">
        <v>0</v>
      </c>
      <c r="I50" s="920">
        <v>0</v>
      </c>
      <c r="J50" s="920">
        <v>0</v>
      </c>
      <c r="K50" s="920">
        <v>0</v>
      </c>
      <c r="L50" s="920">
        <v>0</v>
      </c>
      <c r="M50" s="920">
        <v>0</v>
      </c>
      <c r="N50" s="920">
        <v>0</v>
      </c>
      <c r="O50" s="920">
        <v>214870</v>
      </c>
      <c r="P50" s="920">
        <v>0</v>
      </c>
      <c r="Q50" s="921" t="str">
        <f t="shared" ref="Q50:Q60" si="7">B50</f>
        <v>Federal Lunch Reimbursement</v>
      </c>
      <c r="R50" s="921">
        <f t="shared" ref="R50:R60" si="8">SUM(C50:P50)</f>
        <v>214870</v>
      </c>
      <c r="S50" s="46"/>
      <c r="T50" s="519"/>
    </row>
    <row r="51" spans="1:20" s="37" customFormat="1" hidden="1" x14ac:dyDescent="0.2">
      <c r="A51" s="45"/>
      <c r="B51" s="37" t="s">
        <v>659</v>
      </c>
      <c r="C51" s="920">
        <v>0</v>
      </c>
      <c r="D51" s="920">
        <v>0</v>
      </c>
      <c r="E51" s="920">
        <v>0</v>
      </c>
      <c r="F51" s="920">
        <v>0</v>
      </c>
      <c r="G51" s="920">
        <v>0</v>
      </c>
      <c r="H51" s="920">
        <v>0</v>
      </c>
      <c r="I51" s="920">
        <v>0</v>
      </c>
      <c r="J51" s="920">
        <v>0</v>
      </c>
      <c r="K51" s="920">
        <v>0</v>
      </c>
      <c r="L51" s="920">
        <v>0</v>
      </c>
      <c r="M51" s="920">
        <v>0</v>
      </c>
      <c r="N51" s="920">
        <v>0</v>
      </c>
      <c r="O51" s="920">
        <v>0</v>
      </c>
      <c r="P51" s="920">
        <v>0</v>
      </c>
      <c r="Q51" s="921" t="str">
        <f t="shared" si="7"/>
        <v>Forest Reserve</v>
      </c>
      <c r="R51" s="921">
        <f t="shared" si="8"/>
        <v>0</v>
      </c>
      <c r="S51" s="46"/>
      <c r="T51" s="519"/>
    </row>
    <row r="52" spans="1:20" s="37" customFormat="1" hidden="1" x14ac:dyDescent="0.2">
      <c r="A52" s="45"/>
      <c r="B52" s="37" t="s">
        <v>660</v>
      </c>
      <c r="C52" s="920">
        <v>0</v>
      </c>
      <c r="D52" s="920">
        <v>0</v>
      </c>
      <c r="E52" s="920">
        <v>0</v>
      </c>
      <c r="F52" s="920">
        <v>0</v>
      </c>
      <c r="G52" s="920">
        <v>0</v>
      </c>
      <c r="H52" s="920">
        <v>0</v>
      </c>
      <c r="I52" s="920">
        <v>0</v>
      </c>
      <c r="J52" s="920">
        <v>0</v>
      </c>
      <c r="K52" s="920">
        <v>0</v>
      </c>
      <c r="L52" s="920">
        <v>0</v>
      </c>
      <c r="M52" s="920">
        <v>0</v>
      </c>
      <c r="N52" s="920">
        <v>0</v>
      </c>
      <c r="O52" s="920">
        <v>0</v>
      </c>
      <c r="P52" s="920">
        <v>0</v>
      </c>
      <c r="Q52" s="921" t="str">
        <f t="shared" si="7"/>
        <v>Erate Funds</v>
      </c>
      <c r="R52" s="921">
        <f t="shared" si="8"/>
        <v>0</v>
      </c>
      <c r="S52" s="46"/>
      <c r="T52" s="519"/>
    </row>
    <row r="53" spans="1:20" s="37" customFormat="1" hidden="1" x14ac:dyDescent="0.2">
      <c r="A53" s="45"/>
      <c r="B53" s="37" t="s">
        <v>683</v>
      </c>
      <c r="C53" s="920">
        <v>0</v>
      </c>
      <c r="D53" s="920">
        <v>0</v>
      </c>
      <c r="E53" s="920">
        <v>0</v>
      </c>
      <c r="F53" s="920">
        <v>0</v>
      </c>
      <c r="G53" s="920">
        <v>0</v>
      </c>
      <c r="H53" s="920">
        <v>0</v>
      </c>
      <c r="I53" s="920">
        <v>0</v>
      </c>
      <c r="J53" s="920">
        <v>0</v>
      </c>
      <c r="K53" s="920">
        <v>0</v>
      </c>
      <c r="L53" s="920">
        <v>0</v>
      </c>
      <c r="M53" s="920">
        <v>0</v>
      </c>
      <c r="N53" s="920">
        <v>0</v>
      </c>
      <c r="O53" s="920">
        <v>0</v>
      </c>
      <c r="P53" s="920">
        <v>0</v>
      </c>
      <c r="Q53" s="921" t="str">
        <f t="shared" si="7"/>
        <v>Medicaid Reimbursement</v>
      </c>
      <c r="R53" s="921">
        <f t="shared" si="8"/>
        <v>0</v>
      </c>
      <c r="S53" s="46"/>
      <c r="T53" s="519"/>
    </row>
    <row r="54" spans="1:20" s="37" customFormat="1" hidden="1" x14ac:dyDescent="0.2">
      <c r="A54" s="45"/>
      <c r="B54" s="37" t="s">
        <v>390</v>
      </c>
      <c r="C54" s="920">
        <v>0</v>
      </c>
      <c r="D54" s="920">
        <v>0</v>
      </c>
      <c r="E54" s="920">
        <v>0</v>
      </c>
      <c r="F54" s="920">
        <v>0</v>
      </c>
      <c r="G54" s="920">
        <v>0</v>
      </c>
      <c r="H54" s="920">
        <v>0</v>
      </c>
      <c r="I54" s="920">
        <v>0</v>
      </c>
      <c r="J54" s="920">
        <v>0</v>
      </c>
      <c r="K54" s="920">
        <v>0</v>
      </c>
      <c r="L54" s="920">
        <v>0</v>
      </c>
      <c r="M54" s="920">
        <v>0</v>
      </c>
      <c r="N54" s="920">
        <v>0</v>
      </c>
      <c r="O54" s="920">
        <v>0</v>
      </c>
      <c r="P54" s="920">
        <v>0</v>
      </c>
      <c r="Q54" s="921" t="str">
        <f t="shared" si="7"/>
        <v>Unrestricted - Direct Fed Gov't</v>
      </c>
      <c r="R54" s="921">
        <f t="shared" si="8"/>
        <v>0</v>
      </c>
      <c r="S54" s="46"/>
      <c r="T54" s="519"/>
    </row>
    <row r="55" spans="1:20" s="37" customFormat="1" x14ac:dyDescent="0.2">
      <c r="A55" s="45"/>
      <c r="B55" s="37" t="s">
        <v>617</v>
      </c>
      <c r="C55" s="920">
        <v>121000</v>
      </c>
      <c r="D55" s="920">
        <v>0</v>
      </c>
      <c r="E55" s="920">
        <v>0</v>
      </c>
      <c r="F55" s="920">
        <v>0</v>
      </c>
      <c r="G55" s="920">
        <v>0</v>
      </c>
      <c r="H55" s="920">
        <v>0</v>
      </c>
      <c r="I55" s="920">
        <v>0</v>
      </c>
      <c r="J55" s="920">
        <v>0</v>
      </c>
      <c r="K55" s="920">
        <v>0</v>
      </c>
      <c r="L55" s="920">
        <v>0</v>
      </c>
      <c r="M55" s="920">
        <v>0</v>
      </c>
      <c r="N55" s="920">
        <v>0</v>
      </c>
      <c r="O55" s="920">
        <v>0</v>
      </c>
      <c r="P55" s="920">
        <v>0</v>
      </c>
      <c r="Q55" s="921" t="str">
        <f t="shared" si="7"/>
        <v>Unrestricted - State Agency</v>
      </c>
      <c r="R55" s="921">
        <f t="shared" si="8"/>
        <v>121000</v>
      </c>
      <c r="S55" s="46"/>
      <c r="T55" s="519"/>
    </row>
    <row r="56" spans="1:20" s="37" customFormat="1" hidden="1" x14ac:dyDescent="0.2">
      <c r="A56" s="45"/>
      <c r="B56" s="37" t="s">
        <v>299</v>
      </c>
      <c r="C56" s="920">
        <v>0</v>
      </c>
      <c r="D56" s="920">
        <v>0</v>
      </c>
      <c r="E56" s="920">
        <v>0</v>
      </c>
      <c r="F56" s="920">
        <v>0</v>
      </c>
      <c r="G56" s="920">
        <v>0</v>
      </c>
      <c r="H56" s="920">
        <v>0</v>
      </c>
      <c r="I56" s="920">
        <v>0</v>
      </c>
      <c r="J56" s="920">
        <v>0</v>
      </c>
      <c r="K56" s="920">
        <v>0</v>
      </c>
      <c r="L56" s="920">
        <v>0</v>
      </c>
      <c r="M56" s="920">
        <v>0</v>
      </c>
      <c r="N56" s="920">
        <v>0</v>
      </c>
      <c r="O56" s="920">
        <v>0</v>
      </c>
      <c r="P56" s="920">
        <v>0</v>
      </c>
      <c r="Q56" s="921" t="str">
        <f t="shared" si="7"/>
        <v>Restricted - Direct</v>
      </c>
      <c r="R56" s="921">
        <f t="shared" si="8"/>
        <v>0</v>
      </c>
      <c r="S56" s="46"/>
      <c r="T56" s="519"/>
    </row>
    <row r="57" spans="1:20" s="37" customFormat="1" x14ac:dyDescent="0.2">
      <c r="A57" s="45"/>
      <c r="B57" s="37" t="s">
        <v>298</v>
      </c>
      <c r="C57" s="920">
        <v>0</v>
      </c>
      <c r="D57" s="920">
        <v>0</v>
      </c>
      <c r="E57" s="920">
        <v>0</v>
      </c>
      <c r="F57" s="920">
        <v>0</v>
      </c>
      <c r="G57" s="920">
        <v>0</v>
      </c>
      <c r="H57" s="920">
        <v>988633</v>
      </c>
      <c r="I57" s="920">
        <v>0</v>
      </c>
      <c r="J57" s="920">
        <v>0</v>
      </c>
      <c r="K57" s="920">
        <v>0</v>
      </c>
      <c r="L57" s="920">
        <v>0</v>
      </c>
      <c r="M57" s="920">
        <v>0</v>
      </c>
      <c r="N57" s="920">
        <v>0</v>
      </c>
      <c r="O57" s="920">
        <v>0</v>
      </c>
      <c r="P57" s="920">
        <v>0</v>
      </c>
      <c r="Q57" s="921" t="str">
        <f t="shared" si="7"/>
        <v>Restricted - State Agency</v>
      </c>
      <c r="R57" s="921">
        <f t="shared" si="8"/>
        <v>988633</v>
      </c>
      <c r="S57" s="46"/>
      <c r="T57" s="519"/>
    </row>
    <row r="58" spans="1:20" s="37" customFormat="1" hidden="1" x14ac:dyDescent="0.2">
      <c r="A58" s="45"/>
      <c r="B58" s="37" t="s">
        <v>476</v>
      </c>
      <c r="C58" s="920">
        <v>0</v>
      </c>
      <c r="D58" s="920">
        <v>0</v>
      </c>
      <c r="E58" s="920">
        <v>0</v>
      </c>
      <c r="F58" s="920">
        <v>0</v>
      </c>
      <c r="G58" s="920">
        <v>0</v>
      </c>
      <c r="H58" s="920">
        <v>0</v>
      </c>
      <c r="I58" s="920">
        <v>0</v>
      </c>
      <c r="J58" s="920">
        <v>0</v>
      </c>
      <c r="K58" s="920">
        <v>0</v>
      </c>
      <c r="L58" s="920">
        <v>0</v>
      </c>
      <c r="M58" s="920">
        <v>0</v>
      </c>
      <c r="N58" s="920">
        <v>0</v>
      </c>
      <c r="O58" s="920">
        <v>0</v>
      </c>
      <c r="P58" s="920">
        <v>0</v>
      </c>
      <c r="Q58" s="921" t="str">
        <f t="shared" si="7"/>
        <v>Restricted - Other Agency</v>
      </c>
      <c r="R58" s="921">
        <f t="shared" si="8"/>
        <v>0</v>
      </c>
      <c r="S58" s="46"/>
      <c r="T58" s="519"/>
    </row>
    <row r="59" spans="1:20" s="37" customFormat="1" x14ac:dyDescent="0.2">
      <c r="A59" s="45"/>
      <c r="B59" s="37" t="s">
        <v>398</v>
      </c>
      <c r="C59" s="913">
        <v>155000</v>
      </c>
      <c r="D59" s="913">
        <v>0</v>
      </c>
      <c r="E59" s="913">
        <v>0</v>
      </c>
      <c r="F59" s="913">
        <v>0</v>
      </c>
      <c r="G59" s="913">
        <v>0</v>
      </c>
      <c r="H59" s="913">
        <v>0</v>
      </c>
      <c r="I59" s="913">
        <v>0</v>
      </c>
      <c r="J59" s="913">
        <v>0</v>
      </c>
      <c r="K59" s="913">
        <v>0</v>
      </c>
      <c r="L59" s="913">
        <v>0</v>
      </c>
      <c r="M59" s="913">
        <v>0</v>
      </c>
      <c r="N59" s="913">
        <v>0</v>
      </c>
      <c r="O59" s="913">
        <v>0</v>
      </c>
      <c r="P59" s="913">
        <v>0</v>
      </c>
      <c r="Q59" s="921" t="str">
        <f t="shared" si="7"/>
        <v>Revenue in Lieu of Taxes</v>
      </c>
      <c r="R59" s="921">
        <f t="shared" si="8"/>
        <v>155000</v>
      </c>
      <c r="S59" s="46"/>
      <c r="T59" s="519"/>
    </row>
    <row r="60" spans="1:20" hidden="1" x14ac:dyDescent="0.2">
      <c r="B60" s="37" t="s">
        <v>554</v>
      </c>
      <c r="C60" s="913">
        <v>0</v>
      </c>
      <c r="D60" s="913">
        <v>0</v>
      </c>
      <c r="E60" s="913">
        <v>0</v>
      </c>
      <c r="F60" s="913">
        <v>0</v>
      </c>
      <c r="G60" s="913">
        <v>0</v>
      </c>
      <c r="H60" s="913">
        <v>0</v>
      </c>
      <c r="I60" s="913">
        <v>0</v>
      </c>
      <c r="J60" s="913">
        <v>0</v>
      </c>
      <c r="K60" s="913">
        <v>0</v>
      </c>
      <c r="L60" s="913">
        <v>0</v>
      </c>
      <c r="M60" s="913">
        <v>0</v>
      </c>
      <c r="N60" s="913">
        <v>0</v>
      </c>
      <c r="O60" s="913">
        <v>0</v>
      </c>
      <c r="P60" s="913">
        <v>0</v>
      </c>
      <c r="Q60" s="919" t="str">
        <f t="shared" si="7"/>
        <v>Revenue for/on behalf of School District</v>
      </c>
      <c r="R60" s="919">
        <f t="shared" si="8"/>
        <v>0</v>
      </c>
      <c r="S60" s="44"/>
    </row>
    <row r="61" spans="1:20" hidden="1" x14ac:dyDescent="0.2"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22"/>
      <c r="R61" s="908"/>
    </row>
    <row r="62" spans="1:20" s="2" customFormat="1" x14ac:dyDescent="0.2">
      <c r="B62" s="39" t="s">
        <v>126</v>
      </c>
      <c r="C62" s="931">
        <f>SUM(C49:C61)</f>
        <v>276000</v>
      </c>
      <c r="D62" s="931">
        <f t="shared" ref="D62:P62" si="9">SUM(D49:D61)</f>
        <v>0</v>
      </c>
      <c r="E62" s="931">
        <f t="shared" si="9"/>
        <v>0</v>
      </c>
      <c r="F62" s="931">
        <f t="shared" si="9"/>
        <v>0</v>
      </c>
      <c r="G62" s="931">
        <f t="shared" si="9"/>
        <v>0</v>
      </c>
      <c r="H62" s="931">
        <f t="shared" si="9"/>
        <v>988633</v>
      </c>
      <c r="I62" s="931">
        <f t="shared" si="9"/>
        <v>0</v>
      </c>
      <c r="J62" s="931">
        <f t="shared" si="9"/>
        <v>0</v>
      </c>
      <c r="K62" s="931">
        <f t="shared" si="9"/>
        <v>0</v>
      </c>
      <c r="L62" s="931">
        <f t="shared" si="9"/>
        <v>0</v>
      </c>
      <c r="M62" s="931">
        <f t="shared" si="9"/>
        <v>0</v>
      </c>
      <c r="N62" s="931">
        <f t="shared" si="9"/>
        <v>0</v>
      </c>
      <c r="O62" s="931">
        <f t="shared" si="9"/>
        <v>214870</v>
      </c>
      <c r="P62" s="931">
        <f t="shared" si="9"/>
        <v>0</v>
      </c>
      <c r="Q62" s="930">
        <f>SUM(C62:P62)</f>
        <v>1479503</v>
      </c>
      <c r="R62" s="903"/>
      <c r="T62" s="53"/>
    </row>
    <row r="63" spans="1:20" x14ac:dyDescent="0.2">
      <c r="B63" s="16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22"/>
      <c r="R63" s="908"/>
    </row>
    <row r="64" spans="1:20" hidden="1" x14ac:dyDescent="0.2">
      <c r="B64" s="16" t="s">
        <v>300</v>
      </c>
      <c r="C64" s="916">
        <v>0</v>
      </c>
      <c r="D64" s="916">
        <v>0</v>
      </c>
      <c r="E64" s="916">
        <v>0</v>
      </c>
      <c r="F64" s="916">
        <v>0</v>
      </c>
      <c r="G64" s="916">
        <v>0</v>
      </c>
      <c r="H64" s="916">
        <v>0</v>
      </c>
      <c r="I64" s="916">
        <v>0</v>
      </c>
      <c r="J64" s="916">
        <v>0</v>
      </c>
      <c r="K64" s="916">
        <v>0</v>
      </c>
      <c r="L64" s="916">
        <v>0</v>
      </c>
      <c r="M64" s="916">
        <v>0</v>
      </c>
      <c r="N64" s="916">
        <v>0</v>
      </c>
      <c r="O64" s="916">
        <v>0</v>
      </c>
      <c r="P64" s="916">
        <v>0</v>
      </c>
      <c r="Q64" s="908" t="s">
        <v>300</v>
      </c>
      <c r="R64" s="916">
        <f>SUM(C64:P64)</f>
        <v>0</v>
      </c>
      <c r="S64" s="12"/>
    </row>
    <row r="65" spans="1:20" hidden="1" x14ac:dyDescent="0.2">
      <c r="B65" s="16" t="s">
        <v>408</v>
      </c>
      <c r="C65" s="916">
        <v>0</v>
      </c>
      <c r="D65" s="916">
        <v>0</v>
      </c>
      <c r="E65" s="916">
        <v>0</v>
      </c>
      <c r="F65" s="916">
        <v>0</v>
      </c>
      <c r="G65" s="916">
        <v>0</v>
      </c>
      <c r="H65" s="916">
        <v>0</v>
      </c>
      <c r="I65" s="916">
        <v>0</v>
      </c>
      <c r="J65" s="916">
        <v>0</v>
      </c>
      <c r="K65" s="916">
        <v>0</v>
      </c>
      <c r="L65" s="916">
        <v>0</v>
      </c>
      <c r="M65" s="916">
        <v>0</v>
      </c>
      <c r="N65" s="916">
        <v>0</v>
      </c>
      <c r="O65" s="916">
        <v>0</v>
      </c>
      <c r="P65" s="916">
        <v>0</v>
      </c>
      <c r="Q65" s="908" t="s">
        <v>408</v>
      </c>
      <c r="R65" s="916">
        <f>SUM(C65:P65)</f>
        <v>0</v>
      </c>
      <c r="S65" s="12"/>
    </row>
    <row r="66" spans="1:20" x14ac:dyDescent="0.2">
      <c r="B66" s="16" t="s">
        <v>301</v>
      </c>
      <c r="C66" s="916">
        <v>0</v>
      </c>
      <c r="D66" s="916">
        <v>0</v>
      </c>
      <c r="E66" s="916">
        <v>216167</v>
      </c>
      <c r="F66" s="916">
        <v>0</v>
      </c>
      <c r="G66" s="916">
        <v>0</v>
      </c>
      <c r="H66" s="916">
        <v>0</v>
      </c>
      <c r="I66" s="916">
        <v>0</v>
      </c>
      <c r="J66" s="916">
        <v>12000</v>
      </c>
      <c r="K66" s="916">
        <v>0</v>
      </c>
      <c r="L66" s="916">
        <v>0</v>
      </c>
      <c r="M66" s="916">
        <v>315529</v>
      </c>
      <c r="N66" s="916">
        <v>0</v>
      </c>
      <c r="O66" s="916">
        <v>88000</v>
      </c>
      <c r="P66" s="916">
        <v>-631696</v>
      </c>
      <c r="Q66" s="908" t="s">
        <v>301</v>
      </c>
      <c r="R66" s="916">
        <f>SUM(C66:P66)</f>
        <v>0</v>
      </c>
      <c r="S66" s="12"/>
    </row>
    <row r="67" spans="1:20" hidden="1" x14ac:dyDescent="0.2">
      <c r="B67" s="16" t="s">
        <v>661</v>
      </c>
      <c r="C67" s="916">
        <v>0</v>
      </c>
      <c r="D67" s="916">
        <v>0</v>
      </c>
      <c r="E67" s="916">
        <v>0</v>
      </c>
      <c r="F67" s="916">
        <v>0</v>
      </c>
      <c r="G67" s="916">
        <v>0</v>
      </c>
      <c r="H67" s="916">
        <v>0</v>
      </c>
      <c r="I67" s="916">
        <v>0</v>
      </c>
      <c r="J67" s="916">
        <v>0</v>
      </c>
      <c r="K67" s="916">
        <v>0</v>
      </c>
      <c r="L67" s="916">
        <v>0</v>
      </c>
      <c r="M67" s="916">
        <v>0</v>
      </c>
      <c r="N67" s="916">
        <v>0</v>
      </c>
      <c r="O67" s="916">
        <v>0</v>
      </c>
      <c r="P67" s="916">
        <v>0</v>
      </c>
      <c r="Q67" s="908" t="s">
        <v>661</v>
      </c>
      <c r="R67" s="916">
        <f>SUM(C67:P67)</f>
        <v>0</v>
      </c>
      <c r="S67" s="12"/>
    </row>
    <row r="68" spans="1:20" x14ac:dyDescent="0.2">
      <c r="C68" s="916"/>
      <c r="D68" s="916"/>
      <c r="E68" s="916"/>
      <c r="F68" s="916"/>
      <c r="G68" s="916"/>
      <c r="H68" s="916"/>
      <c r="I68" s="916"/>
      <c r="J68" s="916"/>
      <c r="K68" s="916"/>
      <c r="L68" s="916"/>
      <c r="M68" s="916"/>
      <c r="N68" s="916"/>
      <c r="O68" s="916"/>
      <c r="P68" s="916"/>
      <c r="Q68" s="922"/>
      <c r="R68" s="908"/>
    </row>
    <row r="69" spans="1:20" s="2" customFormat="1" x14ac:dyDescent="0.2">
      <c r="B69" s="39" t="s">
        <v>127</v>
      </c>
      <c r="C69" s="931">
        <f>SUM(C63:C68)</f>
        <v>0</v>
      </c>
      <c r="D69" s="931">
        <f t="shared" ref="D69:P69" si="10">SUM(D63:D68)</f>
        <v>0</v>
      </c>
      <c r="E69" s="931">
        <f t="shared" si="10"/>
        <v>216167</v>
      </c>
      <c r="F69" s="931">
        <f t="shared" si="10"/>
        <v>0</v>
      </c>
      <c r="G69" s="931">
        <f t="shared" si="10"/>
        <v>0</v>
      </c>
      <c r="H69" s="931">
        <f t="shared" si="10"/>
        <v>0</v>
      </c>
      <c r="I69" s="931">
        <f t="shared" si="10"/>
        <v>0</v>
      </c>
      <c r="J69" s="931">
        <f t="shared" si="10"/>
        <v>12000</v>
      </c>
      <c r="K69" s="931">
        <f t="shared" si="10"/>
        <v>0</v>
      </c>
      <c r="L69" s="931">
        <f t="shared" si="10"/>
        <v>0</v>
      </c>
      <c r="M69" s="931">
        <f t="shared" si="10"/>
        <v>315529</v>
      </c>
      <c r="N69" s="931">
        <f t="shared" si="10"/>
        <v>0</v>
      </c>
      <c r="O69" s="931">
        <f t="shared" si="10"/>
        <v>88000</v>
      </c>
      <c r="P69" s="931">
        <f t="shared" si="10"/>
        <v>-631696</v>
      </c>
      <c r="Q69" s="930">
        <f>SUM(C69:P69)</f>
        <v>0</v>
      </c>
      <c r="R69" s="903"/>
      <c r="T69" s="53"/>
    </row>
    <row r="70" spans="1:20" x14ac:dyDescent="0.2">
      <c r="B70" s="16"/>
      <c r="C70" s="916"/>
      <c r="D70" s="916"/>
      <c r="E70" s="916"/>
      <c r="F70" s="916"/>
      <c r="G70" s="916"/>
      <c r="H70" s="916"/>
      <c r="I70" s="916"/>
      <c r="J70" s="916"/>
      <c r="K70" s="916"/>
      <c r="L70" s="916"/>
      <c r="M70" s="916"/>
      <c r="N70" s="916"/>
      <c r="O70" s="916"/>
      <c r="P70" s="916"/>
      <c r="Q70" s="922"/>
      <c r="R70" s="908"/>
    </row>
    <row r="71" spans="1:20" s="2" customFormat="1" x14ac:dyDescent="0.2">
      <c r="B71" s="18" t="s">
        <v>128</v>
      </c>
      <c r="C71" s="931">
        <f>SUM(C69,C62,C48,C35)</f>
        <v>7043284</v>
      </c>
      <c r="D71" s="931">
        <f t="shared" ref="D71:P71" si="11">SUM(D69,D62,D48,D35)</f>
        <v>420170</v>
      </c>
      <c r="E71" s="931">
        <f t="shared" si="11"/>
        <v>718302</v>
      </c>
      <c r="F71" s="931">
        <f t="shared" si="11"/>
        <v>63594</v>
      </c>
      <c r="G71" s="931">
        <f t="shared" si="11"/>
        <v>1051903</v>
      </c>
      <c r="H71" s="931">
        <f t="shared" si="11"/>
        <v>988633</v>
      </c>
      <c r="I71" s="931">
        <f t="shared" si="11"/>
        <v>171715</v>
      </c>
      <c r="J71" s="931">
        <f t="shared" si="11"/>
        <v>12000</v>
      </c>
      <c r="K71" s="931">
        <f t="shared" si="11"/>
        <v>0</v>
      </c>
      <c r="L71" s="931">
        <f t="shared" si="11"/>
        <v>0</v>
      </c>
      <c r="M71" s="931">
        <f t="shared" si="11"/>
        <v>425025</v>
      </c>
      <c r="N71" s="931">
        <f t="shared" si="11"/>
        <v>200</v>
      </c>
      <c r="O71" s="931">
        <f t="shared" si="11"/>
        <v>327635</v>
      </c>
      <c r="P71" s="931">
        <f t="shared" si="11"/>
        <v>-631696</v>
      </c>
      <c r="Q71" s="930">
        <f>SUM(Q35:Q70)</f>
        <v>10590765</v>
      </c>
      <c r="R71" s="903"/>
      <c r="T71" s="53"/>
    </row>
    <row r="72" spans="1:20" s="2" customFormat="1" x14ac:dyDescent="0.2">
      <c r="B72" s="18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0"/>
      <c r="R72" s="903"/>
      <c r="T72" s="53"/>
    </row>
    <row r="73" spans="1:20" s="37" customFormat="1" hidden="1" x14ac:dyDescent="0.2">
      <c r="A73" s="45"/>
      <c r="B73" s="37" t="s">
        <v>662</v>
      </c>
      <c r="C73" s="920">
        <v>0</v>
      </c>
      <c r="D73" s="920">
        <v>0</v>
      </c>
      <c r="E73" s="920">
        <v>0</v>
      </c>
      <c r="F73" s="920">
        <v>0</v>
      </c>
      <c r="G73" s="920">
        <v>0</v>
      </c>
      <c r="H73" s="920">
        <v>0</v>
      </c>
      <c r="I73" s="920">
        <v>0</v>
      </c>
      <c r="J73" s="920">
        <v>0</v>
      </c>
      <c r="K73" s="920">
        <v>0</v>
      </c>
      <c r="L73" s="920">
        <v>0</v>
      </c>
      <c r="M73" s="920">
        <v>0</v>
      </c>
      <c r="N73" s="920">
        <v>0</v>
      </c>
      <c r="O73" s="920">
        <v>0</v>
      </c>
      <c r="P73" s="920">
        <v>0</v>
      </c>
      <c r="Q73" s="921" t="str">
        <f t="shared" ref="Q73:Q78" si="12">B73</f>
        <v>Reserved Net Proceeds</v>
      </c>
      <c r="R73" s="921">
        <f t="shared" ref="R73:R78" si="13">SUM(C73:P73)</f>
        <v>0</v>
      </c>
      <c r="S73" s="46"/>
      <c r="T73" s="519"/>
    </row>
    <row r="74" spans="1:20" s="37" customFormat="1" hidden="1" x14ac:dyDescent="0.2">
      <c r="A74" s="45"/>
      <c r="B74" s="37" t="s">
        <v>663</v>
      </c>
      <c r="C74" s="920">
        <v>0</v>
      </c>
      <c r="D74" s="920">
        <v>0</v>
      </c>
      <c r="E74" s="920">
        <v>0</v>
      </c>
      <c r="F74" s="920">
        <v>0</v>
      </c>
      <c r="G74" s="920">
        <v>0</v>
      </c>
      <c r="H74" s="920">
        <v>0</v>
      </c>
      <c r="I74" s="920">
        <v>0</v>
      </c>
      <c r="J74" s="920">
        <v>0</v>
      </c>
      <c r="K74" s="920">
        <v>0</v>
      </c>
      <c r="L74" s="920">
        <v>0</v>
      </c>
      <c r="M74" s="920">
        <v>0</v>
      </c>
      <c r="N74" s="920">
        <v>0</v>
      </c>
      <c r="O74" s="920">
        <v>0</v>
      </c>
      <c r="P74" s="920">
        <v>0</v>
      </c>
      <c r="Q74" s="921" t="str">
        <f t="shared" si="12"/>
        <v>Reserved Fund Balance - PIRC</v>
      </c>
      <c r="R74" s="921">
        <f t="shared" si="13"/>
        <v>0</v>
      </c>
      <c r="S74" s="46"/>
      <c r="T74" s="519"/>
    </row>
    <row r="75" spans="1:20" s="37" customFormat="1" x14ac:dyDescent="0.2">
      <c r="A75" s="45"/>
      <c r="B75" s="37" t="s">
        <v>303</v>
      </c>
      <c r="C75" s="920">
        <v>63073</v>
      </c>
      <c r="D75" s="920">
        <v>21024</v>
      </c>
      <c r="E75" s="920">
        <v>0</v>
      </c>
      <c r="F75" s="920">
        <v>0</v>
      </c>
      <c r="G75" s="920">
        <v>0</v>
      </c>
      <c r="H75" s="920">
        <v>0</v>
      </c>
      <c r="I75" s="920">
        <v>0</v>
      </c>
      <c r="J75" s="920">
        <v>0</v>
      </c>
      <c r="K75" s="920">
        <v>0</v>
      </c>
      <c r="L75" s="920">
        <v>0</v>
      </c>
      <c r="M75" s="920">
        <v>29412</v>
      </c>
      <c r="N75" s="920">
        <v>0</v>
      </c>
      <c r="O75" s="920">
        <v>0</v>
      </c>
      <c r="P75" s="920">
        <v>0</v>
      </c>
      <c r="Q75" s="921" t="str">
        <f t="shared" si="12"/>
        <v>Reserved Opening Balance</v>
      </c>
      <c r="R75" s="921">
        <f t="shared" si="13"/>
        <v>113509</v>
      </c>
      <c r="S75" s="46"/>
      <c r="T75" s="519"/>
    </row>
    <row r="76" spans="1:20" s="37" customFormat="1" hidden="1" x14ac:dyDescent="0.2">
      <c r="A76" s="45"/>
      <c r="B76" s="37" t="s">
        <v>600</v>
      </c>
      <c r="C76" s="920">
        <v>0</v>
      </c>
      <c r="D76" s="920">
        <v>0</v>
      </c>
      <c r="E76" s="920">
        <v>0</v>
      </c>
      <c r="F76" s="920">
        <v>0</v>
      </c>
      <c r="G76" s="920">
        <v>0</v>
      </c>
      <c r="H76" s="920">
        <v>0</v>
      </c>
      <c r="I76" s="920">
        <v>0</v>
      </c>
      <c r="J76" s="920">
        <v>0</v>
      </c>
      <c r="K76" s="920">
        <v>0</v>
      </c>
      <c r="L76" s="920">
        <v>0</v>
      </c>
      <c r="M76" s="920">
        <v>0</v>
      </c>
      <c r="N76" s="920">
        <v>0</v>
      </c>
      <c r="O76" s="920">
        <v>0</v>
      </c>
      <c r="P76" s="920">
        <v>0</v>
      </c>
      <c r="Q76" s="921" t="str">
        <f t="shared" si="12"/>
        <v>Unreserved Opening Balance</v>
      </c>
      <c r="R76" s="921">
        <f t="shared" si="13"/>
        <v>0</v>
      </c>
      <c r="S76" s="46"/>
      <c r="T76" s="519"/>
    </row>
    <row r="77" spans="1:20" s="37" customFormat="1" x14ac:dyDescent="0.2">
      <c r="A77" s="45"/>
      <c r="B77" s="37" t="s">
        <v>304</v>
      </c>
      <c r="C77" s="920">
        <v>1697300</v>
      </c>
      <c r="D77" s="920">
        <v>321059</v>
      </c>
      <c r="E77" s="920">
        <v>131720</v>
      </c>
      <c r="F77" s="920">
        <v>0</v>
      </c>
      <c r="G77" s="920">
        <v>0</v>
      </c>
      <c r="H77" s="920">
        <v>0</v>
      </c>
      <c r="I77" s="920">
        <v>0</v>
      </c>
      <c r="J77" s="920">
        <v>10064</v>
      </c>
      <c r="K77" s="920">
        <v>43561</v>
      </c>
      <c r="L77" s="920">
        <v>106607</v>
      </c>
      <c r="M77" s="920">
        <f>751905+39960</f>
        <v>791865</v>
      </c>
      <c r="N77" s="920">
        <v>28991</v>
      </c>
      <c r="O77" s="920">
        <v>70460</v>
      </c>
      <c r="P77" s="920">
        <v>0</v>
      </c>
      <c r="Q77" s="921" t="str">
        <f t="shared" si="12"/>
        <v>Opening Balance (Other)</v>
      </c>
      <c r="R77" s="921">
        <f t="shared" si="13"/>
        <v>3201627</v>
      </c>
      <c r="S77" s="46"/>
      <c r="T77" s="519"/>
    </row>
    <row r="78" spans="1:20" s="37" customFormat="1" hidden="1" x14ac:dyDescent="0.2">
      <c r="A78" s="45"/>
      <c r="B78" s="37" t="s">
        <v>305</v>
      </c>
      <c r="C78" s="920">
        <v>0</v>
      </c>
      <c r="D78" s="920">
        <v>0</v>
      </c>
      <c r="E78" s="920">
        <v>0</v>
      </c>
      <c r="F78" s="920">
        <v>0</v>
      </c>
      <c r="G78" s="920">
        <v>0</v>
      </c>
      <c r="H78" s="920">
        <v>0</v>
      </c>
      <c r="I78" s="920">
        <v>0</v>
      </c>
      <c r="J78" s="920">
        <v>0</v>
      </c>
      <c r="K78" s="920">
        <v>0</v>
      </c>
      <c r="L78" s="920">
        <v>0</v>
      </c>
      <c r="M78" s="920">
        <v>0</v>
      </c>
      <c r="N78" s="920">
        <v>0</v>
      </c>
      <c r="O78" s="920">
        <v>0</v>
      </c>
      <c r="P78" s="920">
        <v>0</v>
      </c>
      <c r="Q78" s="921" t="str">
        <f t="shared" si="12"/>
        <v>Reverted to State</v>
      </c>
      <c r="R78" s="921">
        <f t="shared" si="13"/>
        <v>0</v>
      </c>
      <c r="S78" s="46"/>
      <c r="T78" s="519"/>
    </row>
    <row r="79" spans="1:20" x14ac:dyDescent="0.2">
      <c r="C79" s="916"/>
      <c r="D79" s="916"/>
      <c r="E79" s="916"/>
      <c r="F79" s="916"/>
      <c r="G79" s="916"/>
      <c r="H79" s="916"/>
      <c r="I79" s="916"/>
      <c r="J79" s="916"/>
      <c r="K79" s="916"/>
      <c r="L79" s="916"/>
      <c r="M79" s="916"/>
      <c r="N79" s="916"/>
      <c r="O79" s="916"/>
      <c r="P79" s="916"/>
      <c r="Q79" s="908"/>
      <c r="R79" s="908"/>
    </row>
    <row r="80" spans="1:20" s="2" customFormat="1" x14ac:dyDescent="0.2">
      <c r="B80" s="39" t="s">
        <v>129</v>
      </c>
      <c r="C80" s="931">
        <f>SUM(C72:C79)</f>
        <v>1760373</v>
      </c>
      <c r="D80" s="931">
        <f t="shared" ref="D80:P80" si="14">SUM(D72:D79)</f>
        <v>342083</v>
      </c>
      <c r="E80" s="931">
        <f t="shared" si="14"/>
        <v>131720</v>
      </c>
      <c r="F80" s="931">
        <f t="shared" si="14"/>
        <v>0</v>
      </c>
      <c r="G80" s="931">
        <f t="shared" si="14"/>
        <v>0</v>
      </c>
      <c r="H80" s="931">
        <f t="shared" si="14"/>
        <v>0</v>
      </c>
      <c r="I80" s="931">
        <f t="shared" si="14"/>
        <v>0</v>
      </c>
      <c r="J80" s="931">
        <f t="shared" si="14"/>
        <v>10064</v>
      </c>
      <c r="K80" s="931">
        <f t="shared" si="14"/>
        <v>43561</v>
      </c>
      <c r="L80" s="931">
        <f t="shared" si="14"/>
        <v>106607</v>
      </c>
      <c r="M80" s="931">
        <f t="shared" si="14"/>
        <v>821277</v>
      </c>
      <c r="N80" s="931">
        <f t="shared" si="14"/>
        <v>28991</v>
      </c>
      <c r="O80" s="931">
        <f t="shared" si="14"/>
        <v>70460</v>
      </c>
      <c r="P80" s="931">
        <f t="shared" si="14"/>
        <v>0</v>
      </c>
      <c r="Q80" s="931">
        <f>SUM(C80:P80)</f>
        <v>3315136</v>
      </c>
      <c r="R80" s="903"/>
      <c r="T80" s="53"/>
    </row>
    <row r="82" spans="1:20" x14ac:dyDescent="0.2">
      <c r="A82" s="22"/>
      <c r="B82" s="23" t="s">
        <v>306</v>
      </c>
      <c r="C82" s="24">
        <f>SUM(C71,C80)</f>
        <v>8803657</v>
      </c>
      <c r="D82" s="24">
        <f t="shared" ref="D82:P82" si="15">SUM(D71,D80)</f>
        <v>762253</v>
      </c>
      <c r="E82" s="24">
        <f t="shared" si="15"/>
        <v>850022</v>
      </c>
      <c r="F82" s="24">
        <f t="shared" si="15"/>
        <v>63594</v>
      </c>
      <c r="G82" s="24">
        <f t="shared" si="15"/>
        <v>1051903</v>
      </c>
      <c r="H82" s="24">
        <f t="shared" si="15"/>
        <v>988633</v>
      </c>
      <c r="I82" s="24">
        <f t="shared" si="15"/>
        <v>171715</v>
      </c>
      <c r="J82" s="24">
        <f t="shared" si="15"/>
        <v>22064</v>
      </c>
      <c r="K82" s="24">
        <f t="shared" si="15"/>
        <v>43561</v>
      </c>
      <c r="L82" s="24">
        <f t="shared" si="15"/>
        <v>106607</v>
      </c>
      <c r="M82" s="24">
        <f t="shared" si="15"/>
        <v>1246302</v>
      </c>
      <c r="N82" s="24">
        <f t="shared" si="15"/>
        <v>29191</v>
      </c>
      <c r="O82" s="24">
        <f t="shared" si="15"/>
        <v>398095</v>
      </c>
      <c r="P82" s="24">
        <f t="shared" si="15"/>
        <v>-631696</v>
      </c>
      <c r="Q82" s="25">
        <f>SUM(C82:P82)</f>
        <v>13905901</v>
      </c>
      <c r="R82" s="26">
        <f>F1-Q82</f>
        <v>0</v>
      </c>
      <c r="S82" s="26"/>
      <c r="T82" s="537"/>
    </row>
    <row r="83" spans="1:20" s="2" customFormat="1" x14ac:dyDescent="0.2">
      <c r="A83" s="27"/>
      <c r="B83" s="28" t="s">
        <v>131</v>
      </c>
      <c r="C83" s="285">
        <f t="shared" ref="C83:P83" si="16">SUM(C87:C222)</f>
        <v>8803657</v>
      </c>
      <c r="D83" s="285">
        <f t="shared" si="16"/>
        <v>762253</v>
      </c>
      <c r="E83" s="285">
        <f t="shared" si="16"/>
        <v>850022</v>
      </c>
      <c r="F83" s="285">
        <f t="shared" si="16"/>
        <v>63594</v>
      </c>
      <c r="G83" s="285">
        <f t="shared" si="16"/>
        <v>1051903</v>
      </c>
      <c r="H83" s="285">
        <f t="shared" si="16"/>
        <v>988633</v>
      </c>
      <c r="I83" s="285">
        <f t="shared" si="16"/>
        <v>171715</v>
      </c>
      <c r="J83" s="285">
        <f t="shared" si="16"/>
        <v>22064</v>
      </c>
      <c r="K83" s="285">
        <f t="shared" si="16"/>
        <v>43561</v>
      </c>
      <c r="L83" s="285">
        <f t="shared" si="16"/>
        <v>106607</v>
      </c>
      <c r="M83" s="285">
        <f t="shared" si="16"/>
        <v>1246302</v>
      </c>
      <c r="N83" s="285">
        <f t="shared" si="16"/>
        <v>29191</v>
      </c>
      <c r="O83" s="285">
        <f t="shared" si="16"/>
        <v>398095</v>
      </c>
      <c r="P83" s="285">
        <f t="shared" si="16"/>
        <v>-631696</v>
      </c>
      <c r="Q83" s="29">
        <f>SUM(C83:P83)</f>
        <v>13905901</v>
      </c>
      <c r="T83" s="53"/>
    </row>
    <row r="84" spans="1:20" x14ac:dyDescent="0.2">
      <c r="A84" s="30"/>
      <c r="B84" s="286" t="s">
        <v>132</v>
      </c>
      <c r="C84" s="287">
        <f t="shared" ref="C84:Q84" si="17">C82-C83</f>
        <v>0</v>
      </c>
      <c r="D84" s="287">
        <f>D82-D83</f>
        <v>0</v>
      </c>
      <c r="E84" s="287">
        <f>E82-E83</f>
        <v>0</v>
      </c>
      <c r="F84" s="287">
        <f t="shared" ref="F84:M84" si="18">F82-F83</f>
        <v>0</v>
      </c>
      <c r="G84" s="287">
        <f t="shared" si="18"/>
        <v>0</v>
      </c>
      <c r="H84" s="287">
        <f t="shared" si="18"/>
        <v>0</v>
      </c>
      <c r="I84" s="287">
        <f t="shared" si="18"/>
        <v>0</v>
      </c>
      <c r="J84" s="287">
        <f t="shared" si="18"/>
        <v>0</v>
      </c>
      <c r="K84" s="287">
        <f t="shared" si="18"/>
        <v>0</v>
      </c>
      <c r="L84" s="287">
        <f t="shared" si="18"/>
        <v>0</v>
      </c>
      <c r="M84" s="287">
        <f t="shared" si="18"/>
        <v>0</v>
      </c>
      <c r="N84" s="287">
        <f t="shared" si="17"/>
        <v>0</v>
      </c>
      <c r="O84" s="287">
        <f>O82-O83</f>
        <v>0</v>
      </c>
      <c r="P84" s="287">
        <f>P82-P83</f>
        <v>0</v>
      </c>
      <c r="Q84" s="29">
        <f t="shared" si="17"/>
        <v>0</v>
      </c>
    </row>
    <row r="86" spans="1:20" x14ac:dyDescent="0.2">
      <c r="B86" s="2" t="s">
        <v>307</v>
      </c>
    </row>
    <row r="87" spans="1:20" x14ac:dyDescent="0.2">
      <c r="A87" s="2">
        <v>100</v>
      </c>
      <c r="B87" t="s">
        <v>134</v>
      </c>
      <c r="C87" s="916">
        <v>3033626</v>
      </c>
      <c r="D87" s="916">
        <v>0</v>
      </c>
      <c r="E87" s="916">
        <v>0</v>
      </c>
      <c r="F87" s="916">
        <v>0</v>
      </c>
      <c r="G87" s="916">
        <v>303101</v>
      </c>
      <c r="H87" s="916">
        <v>299601</v>
      </c>
      <c r="I87" s="916">
        <v>171715</v>
      </c>
      <c r="J87" s="916">
        <v>0</v>
      </c>
      <c r="K87" s="916">
        <v>0</v>
      </c>
      <c r="L87" s="916">
        <v>0</v>
      </c>
      <c r="M87" s="916">
        <v>0</v>
      </c>
      <c r="N87" s="916">
        <v>0</v>
      </c>
      <c r="O87" s="916">
        <v>0</v>
      </c>
      <c r="P87" s="916">
        <v>0</v>
      </c>
      <c r="Q87" s="916">
        <f t="shared" ref="Q87:Q131" si="19">SUM(C87:P87)</f>
        <v>3808043</v>
      </c>
    </row>
    <row r="88" spans="1:20" x14ac:dyDescent="0.2">
      <c r="A88" s="2">
        <v>200</v>
      </c>
      <c r="B88" t="s">
        <v>135</v>
      </c>
      <c r="C88" s="916">
        <v>0</v>
      </c>
      <c r="D88" s="916">
        <v>0</v>
      </c>
      <c r="E88" s="916">
        <v>665039</v>
      </c>
      <c r="F88" s="916">
        <v>0</v>
      </c>
      <c r="G88" s="916">
        <v>50000</v>
      </c>
      <c r="H88" s="916">
        <v>266703</v>
      </c>
      <c r="I88" s="916">
        <v>0</v>
      </c>
      <c r="J88" s="916">
        <v>0</v>
      </c>
      <c r="K88" s="916">
        <v>0</v>
      </c>
      <c r="L88" s="916">
        <v>0</v>
      </c>
      <c r="M88" s="916">
        <v>0</v>
      </c>
      <c r="N88" s="916">
        <v>0</v>
      </c>
      <c r="O88" s="916">
        <v>0</v>
      </c>
      <c r="P88" s="916">
        <v>0</v>
      </c>
      <c r="Q88" s="916">
        <f t="shared" si="19"/>
        <v>981742</v>
      </c>
    </row>
    <row r="89" spans="1:20" hidden="1" x14ac:dyDescent="0.2">
      <c r="A89" s="2" t="s">
        <v>10</v>
      </c>
      <c r="B89" t="s">
        <v>136</v>
      </c>
      <c r="C89" s="916">
        <v>0</v>
      </c>
      <c r="D89" s="916">
        <v>0</v>
      </c>
      <c r="E89" s="916">
        <v>0</v>
      </c>
      <c r="F89" s="916">
        <v>0</v>
      </c>
      <c r="G89" s="916">
        <v>0</v>
      </c>
      <c r="H89" s="916">
        <v>0</v>
      </c>
      <c r="I89" s="916">
        <v>0</v>
      </c>
      <c r="J89" s="916">
        <v>0</v>
      </c>
      <c r="K89" s="916">
        <v>0</v>
      </c>
      <c r="L89" s="916">
        <v>0</v>
      </c>
      <c r="M89" s="916">
        <v>0</v>
      </c>
      <c r="N89" s="916">
        <v>0</v>
      </c>
      <c r="O89" s="916">
        <v>0</v>
      </c>
      <c r="P89" s="916">
        <v>0</v>
      </c>
      <c r="Q89" s="916">
        <f t="shared" si="19"/>
        <v>0</v>
      </c>
    </row>
    <row r="90" spans="1:20" hidden="1" x14ac:dyDescent="0.2">
      <c r="A90" s="2">
        <v>270</v>
      </c>
      <c r="B90" t="s">
        <v>137</v>
      </c>
      <c r="C90" s="916">
        <v>0</v>
      </c>
      <c r="D90" s="916">
        <v>0</v>
      </c>
      <c r="E90" s="916">
        <v>0</v>
      </c>
      <c r="F90" s="916">
        <v>0</v>
      </c>
      <c r="G90" s="916">
        <v>0</v>
      </c>
      <c r="H90" s="916">
        <v>0</v>
      </c>
      <c r="I90" s="916">
        <v>0</v>
      </c>
      <c r="J90" s="916">
        <v>0</v>
      </c>
      <c r="K90" s="916">
        <v>0</v>
      </c>
      <c r="L90" s="916">
        <v>0</v>
      </c>
      <c r="M90" s="916">
        <v>0</v>
      </c>
      <c r="N90" s="916">
        <v>0</v>
      </c>
      <c r="O90" s="916">
        <v>0</v>
      </c>
      <c r="P90" s="916">
        <v>0</v>
      </c>
      <c r="Q90" s="916">
        <f t="shared" si="19"/>
        <v>0</v>
      </c>
    </row>
    <row r="91" spans="1:20" hidden="1" x14ac:dyDescent="0.2">
      <c r="A91" s="2" t="s">
        <v>10</v>
      </c>
      <c r="B91" t="s">
        <v>138</v>
      </c>
      <c r="C91" s="916">
        <v>0</v>
      </c>
      <c r="D91" s="916">
        <v>0</v>
      </c>
      <c r="E91" s="916">
        <v>0</v>
      </c>
      <c r="F91" s="916">
        <v>0</v>
      </c>
      <c r="G91" s="916">
        <v>0</v>
      </c>
      <c r="H91" s="916">
        <v>0</v>
      </c>
      <c r="I91" s="916">
        <v>0</v>
      </c>
      <c r="J91" s="916">
        <v>0</v>
      </c>
      <c r="K91" s="916">
        <v>0</v>
      </c>
      <c r="L91" s="916">
        <v>0</v>
      </c>
      <c r="M91" s="916">
        <v>0</v>
      </c>
      <c r="N91" s="916">
        <v>0</v>
      </c>
      <c r="O91" s="916">
        <v>0</v>
      </c>
      <c r="P91" s="916">
        <v>0</v>
      </c>
      <c r="Q91" s="916">
        <f t="shared" si="19"/>
        <v>0</v>
      </c>
    </row>
    <row r="92" spans="1:20" x14ac:dyDescent="0.2">
      <c r="A92" s="2">
        <v>300</v>
      </c>
      <c r="B92" t="s">
        <v>139</v>
      </c>
      <c r="C92" s="916">
        <v>100032</v>
      </c>
      <c r="D92" s="916">
        <v>0</v>
      </c>
      <c r="E92" s="916">
        <v>0</v>
      </c>
      <c r="F92" s="916">
        <v>0</v>
      </c>
      <c r="G92" s="916">
        <v>10841</v>
      </c>
      <c r="H92" s="916">
        <v>9165</v>
      </c>
      <c r="I92" s="916">
        <v>0</v>
      </c>
      <c r="J92" s="916">
        <v>0</v>
      </c>
      <c r="K92" s="916">
        <v>0</v>
      </c>
      <c r="L92" s="916">
        <v>0</v>
      </c>
      <c r="M92" s="916">
        <v>0</v>
      </c>
      <c r="N92" s="916">
        <v>0</v>
      </c>
      <c r="O92" s="916">
        <v>0</v>
      </c>
      <c r="P92" s="916">
        <v>0</v>
      </c>
      <c r="Q92" s="916">
        <f t="shared" si="19"/>
        <v>120038</v>
      </c>
    </row>
    <row r="93" spans="1:20" x14ac:dyDescent="0.2">
      <c r="A93" s="2">
        <v>400</v>
      </c>
      <c r="B93" t="s">
        <v>140</v>
      </c>
      <c r="C93" s="916">
        <v>88584</v>
      </c>
      <c r="D93" s="916">
        <v>0</v>
      </c>
      <c r="E93" s="916">
        <v>0</v>
      </c>
      <c r="F93" s="916">
        <v>0</v>
      </c>
      <c r="G93" s="916">
        <v>57655</v>
      </c>
      <c r="H93" s="916">
        <v>42099</v>
      </c>
      <c r="I93" s="916">
        <v>0</v>
      </c>
      <c r="J93" s="916">
        <v>0</v>
      </c>
      <c r="K93" s="916">
        <v>0</v>
      </c>
      <c r="L93" s="916">
        <v>0</v>
      </c>
      <c r="M93" s="916">
        <v>0</v>
      </c>
      <c r="N93" s="916">
        <v>0</v>
      </c>
      <c r="O93" s="916">
        <v>0</v>
      </c>
      <c r="P93" s="916">
        <v>0</v>
      </c>
      <c r="Q93" s="916">
        <f t="shared" si="19"/>
        <v>188338</v>
      </c>
    </row>
    <row r="94" spans="1:20" hidden="1" x14ac:dyDescent="0.2">
      <c r="A94" s="2" t="s">
        <v>10</v>
      </c>
      <c r="B94" t="s">
        <v>141</v>
      </c>
      <c r="C94" s="916">
        <v>0</v>
      </c>
      <c r="D94" s="916">
        <v>0</v>
      </c>
      <c r="E94" s="916">
        <v>0</v>
      </c>
      <c r="F94" s="916">
        <v>0</v>
      </c>
      <c r="G94" s="916">
        <v>0</v>
      </c>
      <c r="H94" s="916">
        <v>0</v>
      </c>
      <c r="I94" s="916">
        <v>0</v>
      </c>
      <c r="J94" s="916">
        <v>0</v>
      </c>
      <c r="K94" s="916">
        <v>0</v>
      </c>
      <c r="L94" s="916">
        <v>0</v>
      </c>
      <c r="M94" s="916">
        <v>0</v>
      </c>
      <c r="N94" s="916">
        <v>0</v>
      </c>
      <c r="O94" s="916">
        <v>0</v>
      </c>
      <c r="P94" s="916">
        <v>0</v>
      </c>
      <c r="Q94" s="916">
        <f t="shared" si="19"/>
        <v>0</v>
      </c>
    </row>
    <row r="95" spans="1:20" hidden="1" x14ac:dyDescent="0.2">
      <c r="A95" s="2" t="s">
        <v>10</v>
      </c>
      <c r="B95" t="s">
        <v>142</v>
      </c>
      <c r="C95" s="916">
        <v>0</v>
      </c>
      <c r="D95" s="916">
        <v>0</v>
      </c>
      <c r="E95" s="916">
        <v>0</v>
      </c>
      <c r="F95" s="916">
        <v>0</v>
      </c>
      <c r="G95" s="916">
        <v>0</v>
      </c>
      <c r="H95" s="916">
        <v>0</v>
      </c>
      <c r="I95" s="916">
        <v>0</v>
      </c>
      <c r="J95" s="916">
        <v>0</v>
      </c>
      <c r="K95" s="916">
        <v>0</v>
      </c>
      <c r="L95" s="916">
        <v>0</v>
      </c>
      <c r="M95" s="916">
        <v>0</v>
      </c>
      <c r="N95" s="916">
        <v>0</v>
      </c>
      <c r="O95" s="916">
        <v>0</v>
      </c>
      <c r="P95" s="916">
        <v>0</v>
      </c>
      <c r="Q95" s="916">
        <f t="shared" si="19"/>
        <v>0</v>
      </c>
    </row>
    <row r="96" spans="1:20" hidden="1" x14ac:dyDescent="0.2">
      <c r="A96" s="2">
        <v>430</v>
      </c>
      <c r="B96" s="3" t="s">
        <v>548</v>
      </c>
      <c r="C96" s="916">
        <v>0</v>
      </c>
      <c r="D96" s="916">
        <v>0</v>
      </c>
      <c r="E96" s="916">
        <v>0</v>
      </c>
      <c r="F96" s="916">
        <v>0</v>
      </c>
      <c r="G96" s="916">
        <v>0</v>
      </c>
      <c r="H96" s="916">
        <v>0</v>
      </c>
      <c r="I96" s="916">
        <v>0</v>
      </c>
      <c r="J96" s="916">
        <v>0</v>
      </c>
      <c r="K96" s="916">
        <v>0</v>
      </c>
      <c r="L96" s="916">
        <v>0</v>
      </c>
      <c r="M96" s="916">
        <v>0</v>
      </c>
      <c r="N96" s="916">
        <v>0</v>
      </c>
      <c r="O96" s="916">
        <v>0</v>
      </c>
      <c r="P96" s="916">
        <v>0</v>
      </c>
      <c r="Q96" s="916">
        <f t="shared" si="19"/>
        <v>0</v>
      </c>
    </row>
    <row r="97" spans="1:20" hidden="1" x14ac:dyDescent="0.2">
      <c r="A97" s="2">
        <v>440</v>
      </c>
      <c r="B97" t="s">
        <v>143</v>
      </c>
      <c r="C97" s="916">
        <v>0</v>
      </c>
      <c r="D97" s="916">
        <v>0</v>
      </c>
      <c r="E97" s="916">
        <v>0</v>
      </c>
      <c r="F97" s="916">
        <v>0</v>
      </c>
      <c r="G97" s="916">
        <v>0</v>
      </c>
      <c r="H97" s="916">
        <v>0</v>
      </c>
      <c r="I97" s="916">
        <v>0</v>
      </c>
      <c r="J97" s="916">
        <v>0</v>
      </c>
      <c r="K97" s="916">
        <v>0</v>
      </c>
      <c r="L97" s="916">
        <v>0</v>
      </c>
      <c r="M97" s="916">
        <v>0</v>
      </c>
      <c r="N97" s="916">
        <v>0</v>
      </c>
      <c r="O97" s="916">
        <v>0</v>
      </c>
      <c r="P97" s="916">
        <v>0</v>
      </c>
      <c r="Q97" s="916">
        <f t="shared" si="19"/>
        <v>0</v>
      </c>
    </row>
    <row r="98" spans="1:20" hidden="1" x14ac:dyDescent="0.2">
      <c r="A98" s="2">
        <v>500</v>
      </c>
      <c r="B98" t="s">
        <v>144</v>
      </c>
      <c r="C98" s="916">
        <v>0</v>
      </c>
      <c r="D98" s="916">
        <v>0</v>
      </c>
      <c r="E98" s="916">
        <v>0</v>
      </c>
      <c r="F98" s="916">
        <v>0</v>
      </c>
      <c r="G98" s="916">
        <v>0</v>
      </c>
      <c r="H98" s="916">
        <v>0</v>
      </c>
      <c r="I98" s="916">
        <v>0</v>
      </c>
      <c r="J98" s="916">
        <v>0</v>
      </c>
      <c r="K98" s="916">
        <v>0</v>
      </c>
      <c r="L98" s="916">
        <v>0</v>
      </c>
      <c r="M98" s="916">
        <v>0</v>
      </c>
      <c r="N98" s="916">
        <v>0</v>
      </c>
      <c r="O98" s="916">
        <v>0</v>
      </c>
      <c r="P98" s="916">
        <v>0</v>
      </c>
      <c r="Q98" s="916">
        <f t="shared" si="19"/>
        <v>0</v>
      </c>
    </row>
    <row r="99" spans="1:20" x14ac:dyDescent="0.2">
      <c r="A99" s="2">
        <v>600</v>
      </c>
      <c r="B99" t="s">
        <v>145</v>
      </c>
      <c r="C99" s="916">
        <v>0</v>
      </c>
      <c r="D99" s="916">
        <v>0</v>
      </c>
      <c r="E99" s="916">
        <v>0</v>
      </c>
      <c r="F99" s="916">
        <v>63594</v>
      </c>
      <c r="G99" s="916">
        <v>0</v>
      </c>
      <c r="H99" s="916">
        <v>0</v>
      </c>
      <c r="I99" s="916">
        <v>0</v>
      </c>
      <c r="J99" s="916">
        <v>0</v>
      </c>
      <c r="K99" s="916">
        <v>0</v>
      </c>
      <c r="L99" s="916">
        <v>0</v>
      </c>
      <c r="M99" s="916">
        <v>0</v>
      </c>
      <c r="N99" s="916">
        <v>0</v>
      </c>
      <c r="O99" s="916">
        <v>0</v>
      </c>
      <c r="P99" s="916">
        <v>0</v>
      </c>
      <c r="Q99" s="916">
        <f t="shared" si="19"/>
        <v>63594</v>
      </c>
    </row>
    <row r="100" spans="1:20" x14ac:dyDescent="0.2">
      <c r="A100" s="2">
        <v>800</v>
      </c>
      <c r="B100" t="s">
        <v>146</v>
      </c>
      <c r="C100" s="916">
        <v>0</v>
      </c>
      <c r="D100" s="916">
        <v>0</v>
      </c>
      <c r="E100" s="916">
        <v>0</v>
      </c>
      <c r="F100" s="916">
        <v>0</v>
      </c>
      <c r="G100" s="916">
        <v>0</v>
      </c>
      <c r="H100" s="916">
        <v>1676</v>
      </c>
      <c r="I100" s="916">
        <v>0</v>
      </c>
      <c r="J100" s="916">
        <v>0</v>
      </c>
      <c r="K100" s="916">
        <v>0</v>
      </c>
      <c r="L100" s="916">
        <v>0</v>
      </c>
      <c r="M100" s="916">
        <v>0</v>
      </c>
      <c r="N100" s="916">
        <v>0</v>
      </c>
      <c r="O100" s="916">
        <v>0</v>
      </c>
      <c r="P100" s="916">
        <v>0</v>
      </c>
      <c r="Q100" s="916">
        <f t="shared" si="19"/>
        <v>1676</v>
      </c>
    </row>
    <row r="101" spans="1:20" x14ac:dyDescent="0.2">
      <c r="A101" s="2">
        <v>910</v>
      </c>
      <c r="B101" t="s">
        <v>147</v>
      </c>
      <c r="C101" s="916">
        <v>46126</v>
      </c>
      <c r="D101" s="916">
        <v>0</v>
      </c>
      <c r="E101" s="916">
        <v>0</v>
      </c>
      <c r="F101" s="916">
        <v>0</v>
      </c>
      <c r="G101" s="916">
        <v>0</v>
      </c>
      <c r="H101" s="916">
        <v>0</v>
      </c>
      <c r="I101" s="916">
        <v>0</v>
      </c>
      <c r="J101" s="916">
        <v>0</v>
      </c>
      <c r="K101" s="916">
        <v>0</v>
      </c>
      <c r="L101" s="916">
        <v>0</v>
      </c>
      <c r="M101" s="916">
        <v>0</v>
      </c>
      <c r="N101" s="916">
        <v>0</v>
      </c>
      <c r="O101" s="916">
        <v>0</v>
      </c>
      <c r="P101" s="916">
        <v>0</v>
      </c>
      <c r="Q101" s="916">
        <f t="shared" si="19"/>
        <v>46126</v>
      </c>
    </row>
    <row r="102" spans="1:20" x14ac:dyDescent="0.2">
      <c r="A102" s="2">
        <v>920</v>
      </c>
      <c r="B102" t="s">
        <v>148</v>
      </c>
      <c r="C102" s="916">
        <v>182017</v>
      </c>
      <c r="D102" s="916">
        <v>0</v>
      </c>
      <c r="E102" s="916">
        <v>0</v>
      </c>
      <c r="F102" s="916">
        <v>0</v>
      </c>
      <c r="G102" s="916">
        <v>0</v>
      </c>
      <c r="H102" s="916">
        <v>0</v>
      </c>
      <c r="I102" s="916">
        <v>0</v>
      </c>
      <c r="J102" s="916">
        <v>0</v>
      </c>
      <c r="K102" s="916">
        <v>0</v>
      </c>
      <c r="L102" s="916">
        <v>0</v>
      </c>
      <c r="M102" s="916">
        <v>0</v>
      </c>
      <c r="N102" s="916">
        <v>0</v>
      </c>
      <c r="O102" s="916">
        <v>0</v>
      </c>
      <c r="P102" s="916">
        <v>0</v>
      </c>
      <c r="Q102" s="916">
        <f t="shared" si="19"/>
        <v>182017</v>
      </c>
    </row>
    <row r="103" spans="1:20" x14ac:dyDescent="0.2">
      <c r="C103" s="916"/>
      <c r="D103" s="916"/>
      <c r="E103" s="916"/>
      <c r="F103" s="916"/>
      <c r="G103" s="916"/>
      <c r="H103" s="916"/>
      <c r="I103" s="916"/>
      <c r="J103" s="916"/>
      <c r="K103" s="916"/>
      <c r="L103" s="916"/>
      <c r="M103" s="916"/>
      <c r="N103" s="916"/>
      <c r="O103" s="916"/>
      <c r="P103" s="916"/>
      <c r="Q103" s="916">
        <f t="shared" si="19"/>
        <v>0</v>
      </c>
      <c r="T103"/>
    </row>
    <row r="104" spans="1:20" x14ac:dyDescent="0.2">
      <c r="A104" s="2" t="s">
        <v>149</v>
      </c>
      <c r="B104" s="2" t="s">
        <v>150</v>
      </c>
      <c r="C104" s="916"/>
      <c r="D104" s="916"/>
      <c r="E104" s="916"/>
      <c r="F104" s="916"/>
      <c r="G104" s="916"/>
      <c r="H104" s="916"/>
      <c r="I104" s="916"/>
      <c r="J104" s="916"/>
      <c r="K104" s="916"/>
      <c r="L104" s="916"/>
      <c r="M104" s="916"/>
      <c r="N104" s="916"/>
      <c r="O104" s="916"/>
      <c r="P104" s="916"/>
      <c r="Q104" s="916">
        <f t="shared" si="19"/>
        <v>0</v>
      </c>
      <c r="T104"/>
    </row>
    <row r="105" spans="1:20" x14ac:dyDescent="0.2">
      <c r="A105" s="2">
        <v>2100</v>
      </c>
      <c r="B105" t="s">
        <v>151</v>
      </c>
      <c r="C105" s="916">
        <v>342476</v>
      </c>
      <c r="D105" s="916">
        <v>0</v>
      </c>
      <c r="E105" s="916">
        <v>144710</v>
      </c>
      <c r="F105" s="916">
        <v>0</v>
      </c>
      <c r="G105" s="916">
        <v>161985</v>
      </c>
      <c r="H105" s="916">
        <v>63092</v>
      </c>
      <c r="I105" s="916">
        <v>0</v>
      </c>
      <c r="J105" s="916">
        <v>0</v>
      </c>
      <c r="K105" s="916">
        <v>0</v>
      </c>
      <c r="L105" s="916">
        <v>0</v>
      </c>
      <c r="M105" s="916">
        <v>0</v>
      </c>
      <c r="N105" s="916">
        <v>0</v>
      </c>
      <c r="O105" s="916">
        <v>0</v>
      </c>
      <c r="P105" s="916">
        <v>0</v>
      </c>
      <c r="Q105" s="916">
        <f t="shared" si="19"/>
        <v>712263</v>
      </c>
      <c r="T105"/>
    </row>
    <row r="106" spans="1:20" x14ac:dyDescent="0.2">
      <c r="A106" s="2">
        <v>2200</v>
      </c>
      <c r="B106" t="s">
        <v>152</v>
      </c>
      <c r="C106" s="916">
        <v>362993</v>
      </c>
      <c r="D106" s="916">
        <v>0</v>
      </c>
      <c r="E106" s="916">
        <v>13281</v>
      </c>
      <c r="F106" s="916">
        <v>0</v>
      </c>
      <c r="G106" s="916">
        <v>148246</v>
      </c>
      <c r="H106" s="916">
        <v>222808</v>
      </c>
      <c r="I106" s="916">
        <v>0</v>
      </c>
      <c r="J106" s="916">
        <v>0</v>
      </c>
      <c r="K106" s="916">
        <v>0</v>
      </c>
      <c r="L106" s="916">
        <v>0</v>
      </c>
      <c r="M106" s="916">
        <v>0</v>
      </c>
      <c r="N106" s="916">
        <v>0</v>
      </c>
      <c r="O106" s="916">
        <v>0</v>
      </c>
      <c r="P106" s="916">
        <v>0</v>
      </c>
      <c r="Q106" s="916">
        <f t="shared" si="19"/>
        <v>747328</v>
      </c>
      <c r="T106"/>
    </row>
    <row r="107" spans="1:20" x14ac:dyDescent="0.2">
      <c r="A107" s="22">
        <v>2300</v>
      </c>
      <c r="B107" s="303" t="s">
        <v>153</v>
      </c>
      <c r="C107" s="916">
        <v>366857</v>
      </c>
      <c r="D107" s="916">
        <v>0</v>
      </c>
      <c r="E107" s="916">
        <v>0</v>
      </c>
      <c r="F107" s="916">
        <v>0</v>
      </c>
      <c r="G107" s="916">
        <v>5599</v>
      </c>
      <c r="H107" s="916">
        <v>0</v>
      </c>
      <c r="I107" s="916">
        <v>0</v>
      </c>
      <c r="J107" s="916">
        <v>0</v>
      </c>
      <c r="K107" s="916">
        <v>0</v>
      </c>
      <c r="L107" s="916">
        <v>0</v>
      </c>
      <c r="M107" s="916">
        <v>0</v>
      </c>
      <c r="N107" s="916">
        <v>0</v>
      </c>
      <c r="O107" s="916">
        <v>0</v>
      </c>
      <c r="P107" s="916">
        <v>0</v>
      </c>
      <c r="Q107" s="916">
        <f t="shared" si="19"/>
        <v>372456</v>
      </c>
      <c r="T107"/>
    </row>
    <row r="108" spans="1:20" x14ac:dyDescent="0.2">
      <c r="A108" s="30">
        <v>2400</v>
      </c>
      <c r="B108" s="304" t="s">
        <v>154</v>
      </c>
      <c r="C108" s="916">
        <v>754909</v>
      </c>
      <c r="D108" s="916">
        <v>0</v>
      </c>
      <c r="E108" s="916">
        <v>0</v>
      </c>
      <c r="F108" s="916">
        <v>0</v>
      </c>
      <c r="G108" s="916">
        <v>0</v>
      </c>
      <c r="H108" s="916">
        <v>0</v>
      </c>
      <c r="I108" s="916">
        <v>0</v>
      </c>
      <c r="J108" s="916">
        <v>0</v>
      </c>
      <c r="K108" s="916">
        <v>0</v>
      </c>
      <c r="L108" s="916">
        <v>0</v>
      </c>
      <c r="M108" s="916">
        <v>0</v>
      </c>
      <c r="N108" s="916">
        <v>0</v>
      </c>
      <c r="O108" s="916">
        <v>0</v>
      </c>
      <c r="P108" s="916">
        <v>0</v>
      </c>
      <c r="Q108" s="916">
        <f t="shared" si="19"/>
        <v>754909</v>
      </c>
      <c r="T108"/>
    </row>
    <row r="109" spans="1:20" x14ac:dyDescent="0.2">
      <c r="A109" s="2">
        <v>2500</v>
      </c>
      <c r="B109" t="s">
        <v>155</v>
      </c>
      <c r="C109" s="916">
        <v>856704</v>
      </c>
      <c r="D109" s="916">
        <v>0</v>
      </c>
      <c r="E109" s="916">
        <v>0</v>
      </c>
      <c r="F109" s="916">
        <v>0</v>
      </c>
      <c r="G109" s="916">
        <v>21000</v>
      </c>
      <c r="H109" s="916">
        <v>77725</v>
      </c>
      <c r="I109" s="916">
        <v>0</v>
      </c>
      <c r="J109" s="916">
        <v>12000</v>
      </c>
      <c r="K109" s="916">
        <v>0</v>
      </c>
      <c r="L109" s="916">
        <v>0</v>
      </c>
      <c r="M109" s="916">
        <v>0</v>
      </c>
      <c r="N109" s="916">
        <v>0</v>
      </c>
      <c r="O109" s="916">
        <v>0</v>
      </c>
      <c r="P109" s="916">
        <v>0</v>
      </c>
      <c r="Q109" s="916">
        <f t="shared" si="19"/>
        <v>967429</v>
      </c>
      <c r="T109"/>
    </row>
    <row r="110" spans="1:20" x14ac:dyDescent="0.2">
      <c r="A110" s="2">
        <v>2600</v>
      </c>
      <c r="B110" t="s">
        <v>156</v>
      </c>
      <c r="C110" s="916">
        <v>1063921</v>
      </c>
      <c r="D110" s="916">
        <v>0</v>
      </c>
      <c r="E110" s="916">
        <v>0</v>
      </c>
      <c r="F110" s="916">
        <v>0</v>
      </c>
      <c r="G110" s="916">
        <v>290868</v>
      </c>
      <c r="H110" s="916">
        <v>0</v>
      </c>
      <c r="I110" s="916">
        <v>0</v>
      </c>
      <c r="J110" s="916">
        <v>0</v>
      </c>
      <c r="K110" s="916">
        <v>0</v>
      </c>
      <c r="L110" s="916">
        <v>0</v>
      </c>
      <c r="M110" s="916">
        <v>10000</v>
      </c>
      <c r="N110" s="916">
        <v>0</v>
      </c>
      <c r="O110" s="916">
        <v>0</v>
      </c>
      <c r="P110" s="916">
        <v>0</v>
      </c>
      <c r="Q110" s="916">
        <f t="shared" si="19"/>
        <v>1364789</v>
      </c>
      <c r="T110"/>
    </row>
    <row r="111" spans="1:20" x14ac:dyDescent="0.2">
      <c r="A111" s="2">
        <v>2700</v>
      </c>
      <c r="B111" t="s">
        <v>157</v>
      </c>
      <c r="C111" s="916">
        <v>335472</v>
      </c>
      <c r="D111" s="916">
        <v>0</v>
      </c>
      <c r="E111" s="916">
        <v>0</v>
      </c>
      <c r="F111" s="916">
        <v>0</v>
      </c>
      <c r="G111" s="916">
        <v>0</v>
      </c>
      <c r="H111" s="916">
        <v>5764</v>
      </c>
      <c r="I111" s="916">
        <v>0</v>
      </c>
      <c r="J111" s="916">
        <v>0</v>
      </c>
      <c r="K111" s="916">
        <v>0</v>
      </c>
      <c r="L111" s="916">
        <v>0</v>
      </c>
      <c r="M111" s="916">
        <v>40000</v>
      </c>
      <c r="N111" s="916">
        <v>0</v>
      </c>
      <c r="O111" s="916">
        <v>0</v>
      </c>
      <c r="P111" s="916">
        <v>0</v>
      </c>
      <c r="Q111" s="916">
        <f t="shared" si="19"/>
        <v>381236</v>
      </c>
      <c r="T111"/>
    </row>
    <row r="112" spans="1:20" x14ac:dyDescent="0.2">
      <c r="A112" s="2">
        <v>2900</v>
      </c>
      <c r="B112" t="s">
        <v>158</v>
      </c>
      <c r="C112" s="916">
        <v>0</v>
      </c>
      <c r="D112" s="916">
        <v>0</v>
      </c>
      <c r="E112" s="916">
        <v>0</v>
      </c>
      <c r="F112" s="916">
        <v>0</v>
      </c>
      <c r="G112" s="916">
        <v>0</v>
      </c>
      <c r="H112" s="916">
        <v>0</v>
      </c>
      <c r="I112" s="916">
        <v>0</v>
      </c>
      <c r="J112" s="916">
        <v>0</v>
      </c>
      <c r="K112" s="916">
        <v>0</v>
      </c>
      <c r="L112" s="916">
        <v>27579</v>
      </c>
      <c r="M112" s="916">
        <v>0</v>
      </c>
      <c r="N112" s="916">
        <v>0</v>
      </c>
      <c r="O112" s="916">
        <v>0</v>
      </c>
      <c r="P112" s="916">
        <v>0</v>
      </c>
      <c r="Q112" s="916">
        <f t="shared" si="19"/>
        <v>27579</v>
      </c>
      <c r="T112"/>
    </row>
    <row r="113" spans="1:20" hidden="1" x14ac:dyDescent="0.2">
      <c r="A113" s="2">
        <v>3000</v>
      </c>
      <c r="B113" t="s">
        <v>159</v>
      </c>
      <c r="C113" s="916">
        <v>0</v>
      </c>
      <c r="D113" s="916">
        <v>0</v>
      </c>
      <c r="E113" s="916">
        <v>0</v>
      </c>
      <c r="F113" s="916">
        <v>0</v>
      </c>
      <c r="G113" s="916">
        <v>0</v>
      </c>
      <c r="H113" s="916">
        <v>0</v>
      </c>
      <c r="I113" s="916">
        <v>0</v>
      </c>
      <c r="J113" s="916">
        <v>0</v>
      </c>
      <c r="K113" s="916">
        <v>0</v>
      </c>
      <c r="L113" s="916">
        <v>0</v>
      </c>
      <c r="M113" s="916">
        <v>0</v>
      </c>
      <c r="N113" s="916">
        <v>0</v>
      </c>
      <c r="O113" s="916">
        <v>0</v>
      </c>
      <c r="P113" s="916">
        <v>0</v>
      </c>
      <c r="Q113" s="916">
        <f t="shared" si="19"/>
        <v>0</v>
      </c>
      <c r="T113"/>
    </row>
    <row r="114" spans="1:20" x14ac:dyDescent="0.2">
      <c r="A114" s="2">
        <v>3100</v>
      </c>
      <c r="B114" t="s">
        <v>160</v>
      </c>
      <c r="C114" s="916">
        <v>0</v>
      </c>
      <c r="D114" s="916">
        <v>0</v>
      </c>
      <c r="E114" s="916">
        <v>0</v>
      </c>
      <c r="F114" s="916">
        <v>0</v>
      </c>
      <c r="G114" s="916">
        <v>2608</v>
      </c>
      <c r="H114" s="916">
        <v>0</v>
      </c>
      <c r="I114" s="916">
        <v>0</v>
      </c>
      <c r="J114" s="916">
        <v>0</v>
      </c>
      <c r="K114" s="916">
        <v>0</v>
      </c>
      <c r="L114" s="916">
        <v>0</v>
      </c>
      <c r="M114" s="916">
        <v>0</v>
      </c>
      <c r="N114" s="916">
        <v>0</v>
      </c>
      <c r="O114" s="916">
        <v>372560</v>
      </c>
      <c r="P114" s="916">
        <v>0</v>
      </c>
      <c r="Q114" s="916">
        <f t="shared" si="19"/>
        <v>375168</v>
      </c>
    </row>
    <row r="115" spans="1:20" hidden="1" x14ac:dyDescent="0.2">
      <c r="A115" s="2">
        <v>3200</v>
      </c>
      <c r="B115" t="s">
        <v>161</v>
      </c>
      <c r="C115" s="916">
        <v>0</v>
      </c>
      <c r="D115" s="916">
        <v>0</v>
      </c>
      <c r="E115" s="916">
        <v>0</v>
      </c>
      <c r="F115" s="916">
        <v>0</v>
      </c>
      <c r="G115" s="916">
        <v>0</v>
      </c>
      <c r="H115" s="916">
        <v>0</v>
      </c>
      <c r="I115" s="916">
        <v>0</v>
      </c>
      <c r="J115" s="916">
        <v>0</v>
      </c>
      <c r="K115" s="916">
        <v>0</v>
      </c>
      <c r="L115" s="916">
        <v>0</v>
      </c>
      <c r="M115" s="916">
        <v>0</v>
      </c>
      <c r="N115" s="916">
        <v>0</v>
      </c>
      <c r="O115" s="916">
        <v>0</v>
      </c>
      <c r="P115" s="916">
        <v>0</v>
      </c>
      <c r="Q115" s="916">
        <f t="shared" si="19"/>
        <v>0</v>
      </c>
    </row>
    <row r="116" spans="1:20" hidden="1" x14ac:dyDescent="0.2">
      <c r="A116" s="2">
        <v>3300</v>
      </c>
      <c r="B116" t="s">
        <v>162</v>
      </c>
      <c r="C116" s="916">
        <v>0</v>
      </c>
      <c r="D116" s="916">
        <v>0</v>
      </c>
      <c r="E116" s="916">
        <v>0</v>
      </c>
      <c r="F116" s="916">
        <v>0</v>
      </c>
      <c r="G116" s="916">
        <v>0</v>
      </c>
      <c r="H116" s="916">
        <v>0</v>
      </c>
      <c r="I116" s="916">
        <v>0</v>
      </c>
      <c r="J116" s="916">
        <v>0</v>
      </c>
      <c r="K116" s="916">
        <v>0</v>
      </c>
      <c r="L116" s="916">
        <v>0</v>
      </c>
      <c r="M116" s="916">
        <v>0</v>
      </c>
      <c r="N116" s="916">
        <v>0</v>
      </c>
      <c r="O116" s="916">
        <v>0</v>
      </c>
      <c r="P116" s="916">
        <v>0</v>
      </c>
      <c r="Q116" s="916">
        <f t="shared" si="19"/>
        <v>0</v>
      </c>
    </row>
    <row r="117" spans="1:20" hidden="1" x14ac:dyDescent="0.2">
      <c r="A117" s="2">
        <v>4000</v>
      </c>
      <c r="B117" t="s">
        <v>164</v>
      </c>
      <c r="C117" s="916">
        <v>0</v>
      </c>
      <c r="D117" s="916">
        <v>0</v>
      </c>
      <c r="E117" s="916">
        <v>0</v>
      </c>
      <c r="F117" s="916">
        <v>0</v>
      </c>
      <c r="G117" s="916">
        <v>0</v>
      </c>
      <c r="H117" s="916">
        <v>0</v>
      </c>
      <c r="I117" s="916">
        <v>0</v>
      </c>
      <c r="J117" s="916">
        <v>0</v>
      </c>
      <c r="K117" s="916">
        <v>0</v>
      </c>
      <c r="L117" s="916">
        <v>0</v>
      </c>
      <c r="M117" s="916">
        <v>0</v>
      </c>
      <c r="N117" s="916">
        <v>0</v>
      </c>
      <c r="O117" s="916">
        <v>0</v>
      </c>
      <c r="P117" s="916">
        <v>0</v>
      </c>
      <c r="Q117" s="916">
        <f t="shared" si="19"/>
        <v>0</v>
      </c>
    </row>
    <row r="118" spans="1:20" hidden="1" x14ac:dyDescent="0.2">
      <c r="A118" s="2">
        <v>4100</v>
      </c>
      <c r="B118" t="s">
        <v>163</v>
      </c>
      <c r="C118" s="916">
        <v>0</v>
      </c>
      <c r="D118" s="916">
        <v>0</v>
      </c>
      <c r="E118" s="916">
        <v>0</v>
      </c>
      <c r="F118" s="916">
        <v>0</v>
      </c>
      <c r="G118" s="916">
        <v>0</v>
      </c>
      <c r="H118" s="916">
        <v>0</v>
      </c>
      <c r="I118" s="916">
        <v>0</v>
      </c>
      <c r="J118" s="916">
        <v>0</v>
      </c>
      <c r="K118" s="916">
        <v>0</v>
      </c>
      <c r="L118" s="916">
        <v>0</v>
      </c>
      <c r="M118" s="916">
        <v>0</v>
      </c>
      <c r="N118" s="916">
        <v>0</v>
      </c>
      <c r="O118" s="916">
        <v>0</v>
      </c>
      <c r="P118" s="916">
        <v>0</v>
      </c>
      <c r="Q118" s="916">
        <f t="shared" si="19"/>
        <v>0</v>
      </c>
    </row>
    <row r="119" spans="1:20" hidden="1" x14ac:dyDescent="0.2">
      <c r="A119" s="2">
        <v>4200</v>
      </c>
      <c r="B119" t="s">
        <v>165</v>
      </c>
      <c r="C119" s="916">
        <v>0</v>
      </c>
      <c r="D119" s="916">
        <v>0</v>
      </c>
      <c r="E119" s="916">
        <v>0</v>
      </c>
      <c r="F119" s="916">
        <v>0</v>
      </c>
      <c r="G119" s="916">
        <v>0</v>
      </c>
      <c r="H119" s="916">
        <v>0</v>
      </c>
      <c r="I119" s="916">
        <v>0</v>
      </c>
      <c r="J119" s="916">
        <v>0</v>
      </c>
      <c r="K119" s="916">
        <v>0</v>
      </c>
      <c r="L119" s="916">
        <v>0</v>
      </c>
      <c r="M119" s="916">
        <v>0</v>
      </c>
      <c r="N119" s="916">
        <v>0</v>
      </c>
      <c r="O119" s="916">
        <v>0</v>
      </c>
      <c r="P119" s="916">
        <v>0</v>
      </c>
      <c r="Q119" s="916">
        <f t="shared" si="19"/>
        <v>0</v>
      </c>
    </row>
    <row r="120" spans="1:20" hidden="1" x14ac:dyDescent="0.2">
      <c r="A120" s="2">
        <v>4300</v>
      </c>
      <c r="B120" t="s">
        <v>166</v>
      </c>
      <c r="C120" s="916">
        <v>0</v>
      </c>
      <c r="D120" s="916">
        <v>0</v>
      </c>
      <c r="E120" s="916">
        <v>0</v>
      </c>
      <c r="F120" s="916">
        <v>0</v>
      </c>
      <c r="G120" s="916">
        <v>0</v>
      </c>
      <c r="H120" s="916">
        <v>0</v>
      </c>
      <c r="I120" s="916">
        <v>0</v>
      </c>
      <c r="J120" s="916">
        <v>0</v>
      </c>
      <c r="K120" s="916">
        <v>0</v>
      </c>
      <c r="L120" s="916">
        <v>0</v>
      </c>
      <c r="M120" s="916">
        <v>0</v>
      </c>
      <c r="N120" s="916">
        <v>0</v>
      </c>
      <c r="O120" s="916">
        <v>0</v>
      </c>
      <c r="P120" s="916">
        <v>0</v>
      </c>
      <c r="Q120" s="916">
        <f t="shared" si="19"/>
        <v>0</v>
      </c>
    </row>
    <row r="121" spans="1:20" hidden="1" x14ac:dyDescent="0.2">
      <c r="A121" s="2">
        <v>4400</v>
      </c>
      <c r="B121" t="s">
        <v>167</v>
      </c>
      <c r="C121" s="916">
        <v>0</v>
      </c>
      <c r="D121" s="916">
        <v>0</v>
      </c>
      <c r="E121" s="916">
        <v>0</v>
      </c>
      <c r="F121" s="916">
        <v>0</v>
      </c>
      <c r="G121" s="916">
        <v>0</v>
      </c>
      <c r="H121" s="916">
        <v>0</v>
      </c>
      <c r="I121" s="916">
        <v>0</v>
      </c>
      <c r="J121" s="916">
        <v>0</v>
      </c>
      <c r="K121" s="916">
        <v>0</v>
      </c>
      <c r="L121" s="916">
        <v>0</v>
      </c>
      <c r="M121" s="916">
        <v>0</v>
      </c>
      <c r="N121" s="916">
        <v>0</v>
      </c>
      <c r="O121" s="916">
        <v>0</v>
      </c>
      <c r="P121" s="916">
        <v>0</v>
      </c>
      <c r="Q121" s="916">
        <f t="shared" si="19"/>
        <v>0</v>
      </c>
    </row>
    <row r="122" spans="1:20" hidden="1" x14ac:dyDescent="0.2">
      <c r="A122" s="2">
        <v>4500</v>
      </c>
      <c r="B122" t="s">
        <v>168</v>
      </c>
      <c r="C122" s="916">
        <v>0</v>
      </c>
      <c r="D122" s="916">
        <v>0</v>
      </c>
      <c r="E122" s="916">
        <v>0</v>
      </c>
      <c r="F122" s="916">
        <v>0</v>
      </c>
      <c r="G122" s="916">
        <v>0</v>
      </c>
      <c r="H122" s="916">
        <v>0</v>
      </c>
      <c r="I122" s="916">
        <v>0</v>
      </c>
      <c r="J122" s="916">
        <v>0</v>
      </c>
      <c r="K122" s="916">
        <v>0</v>
      </c>
      <c r="L122" s="916">
        <v>0</v>
      </c>
      <c r="M122" s="916">
        <v>0</v>
      </c>
      <c r="N122" s="916">
        <v>0</v>
      </c>
      <c r="O122" s="916">
        <v>0</v>
      </c>
      <c r="P122" s="916">
        <v>0</v>
      </c>
      <c r="Q122" s="916">
        <f t="shared" si="19"/>
        <v>0</v>
      </c>
    </row>
    <row r="123" spans="1:20" hidden="1" x14ac:dyDescent="0.2">
      <c r="A123" s="2">
        <v>4600</v>
      </c>
      <c r="B123" t="s">
        <v>169</v>
      </c>
      <c r="C123" s="916">
        <v>0</v>
      </c>
      <c r="D123" s="916">
        <v>0</v>
      </c>
      <c r="E123" s="916">
        <v>0</v>
      </c>
      <c r="F123" s="916">
        <v>0</v>
      </c>
      <c r="G123" s="916">
        <v>0</v>
      </c>
      <c r="H123" s="916">
        <v>0</v>
      </c>
      <c r="I123" s="916">
        <v>0</v>
      </c>
      <c r="J123" s="916">
        <v>0</v>
      </c>
      <c r="K123" s="916">
        <v>0</v>
      </c>
      <c r="L123" s="916">
        <v>0</v>
      </c>
      <c r="M123" s="916">
        <v>0</v>
      </c>
      <c r="N123" s="916">
        <v>0</v>
      </c>
      <c r="O123" s="916">
        <v>0</v>
      </c>
      <c r="P123" s="916">
        <v>0</v>
      </c>
      <c r="Q123" s="916">
        <f t="shared" si="19"/>
        <v>0</v>
      </c>
    </row>
    <row r="124" spans="1:20" x14ac:dyDescent="0.2">
      <c r="A124" s="2">
        <v>4700</v>
      </c>
      <c r="B124" t="s">
        <v>170</v>
      </c>
      <c r="C124" s="916">
        <v>0</v>
      </c>
      <c r="D124" s="916">
        <v>0</v>
      </c>
      <c r="E124" s="916">
        <v>0</v>
      </c>
      <c r="F124" s="916">
        <v>0</v>
      </c>
      <c r="G124" s="916">
        <v>0</v>
      </c>
      <c r="H124" s="916">
        <v>0</v>
      </c>
      <c r="I124" s="916">
        <v>0</v>
      </c>
      <c r="J124" s="916">
        <v>0</v>
      </c>
      <c r="K124" s="916">
        <v>0</v>
      </c>
      <c r="L124" s="916">
        <v>0</v>
      </c>
      <c r="M124" s="916">
        <v>0</v>
      </c>
      <c r="N124" s="916">
        <v>29191</v>
      </c>
      <c r="O124" s="916">
        <v>0</v>
      </c>
      <c r="P124" s="916">
        <v>0</v>
      </c>
      <c r="Q124" s="916">
        <f t="shared" si="19"/>
        <v>29191</v>
      </c>
    </row>
    <row r="125" spans="1:20" x14ac:dyDescent="0.2">
      <c r="A125" s="2">
        <v>4900</v>
      </c>
      <c r="B125" t="s">
        <v>171</v>
      </c>
      <c r="C125" s="916">
        <v>0</v>
      </c>
      <c r="D125" s="916">
        <v>0</v>
      </c>
      <c r="E125" s="916">
        <v>0</v>
      </c>
      <c r="F125" s="916">
        <v>0</v>
      </c>
      <c r="G125" s="916">
        <v>0</v>
      </c>
      <c r="H125" s="916">
        <v>0</v>
      </c>
      <c r="I125" s="916">
        <v>0</v>
      </c>
      <c r="J125" s="916">
        <v>0</v>
      </c>
      <c r="K125" s="916">
        <v>0</v>
      </c>
      <c r="L125" s="916">
        <v>0</v>
      </c>
      <c r="M125" s="916">
        <v>148794</v>
      </c>
      <c r="N125" s="916">
        <v>0</v>
      </c>
      <c r="O125" s="916">
        <v>0</v>
      </c>
      <c r="P125" s="916">
        <v>0</v>
      </c>
      <c r="Q125" s="916">
        <f t="shared" si="19"/>
        <v>148794</v>
      </c>
    </row>
    <row r="126" spans="1:20" x14ac:dyDescent="0.2">
      <c r="A126" s="2">
        <v>5000</v>
      </c>
      <c r="B126" t="s">
        <v>172</v>
      </c>
      <c r="C126" s="916">
        <v>56048</v>
      </c>
      <c r="D126" s="916">
        <v>267714</v>
      </c>
      <c r="E126" s="916">
        <v>0</v>
      </c>
      <c r="F126" s="916">
        <v>0</v>
      </c>
      <c r="G126" s="916">
        <v>0</v>
      </c>
      <c r="H126" s="916">
        <v>0</v>
      </c>
      <c r="I126" s="916">
        <v>0</v>
      </c>
      <c r="J126" s="916">
        <v>0</v>
      </c>
      <c r="K126" s="916">
        <v>0</v>
      </c>
      <c r="L126" s="916">
        <v>0</v>
      </c>
      <c r="M126" s="916">
        <v>0</v>
      </c>
      <c r="N126" s="916">
        <v>0</v>
      </c>
      <c r="O126" s="916">
        <v>0</v>
      </c>
      <c r="P126" s="916">
        <v>0</v>
      </c>
      <c r="Q126" s="916">
        <f t="shared" si="19"/>
        <v>323762</v>
      </c>
    </row>
    <row r="127" spans="1:20" x14ac:dyDescent="0.2">
      <c r="A127" s="2">
        <v>5000</v>
      </c>
      <c r="B127" t="s">
        <v>173</v>
      </c>
      <c r="C127" s="916">
        <v>0</v>
      </c>
      <c r="D127" s="916">
        <v>0</v>
      </c>
      <c r="E127" s="916">
        <v>0</v>
      </c>
      <c r="F127" s="916">
        <v>0</v>
      </c>
      <c r="G127" s="916">
        <v>0</v>
      </c>
      <c r="H127" s="916">
        <v>0</v>
      </c>
      <c r="I127" s="916">
        <v>0</v>
      </c>
      <c r="J127" s="916">
        <v>0</v>
      </c>
      <c r="K127" s="916">
        <v>0</v>
      </c>
      <c r="L127" s="916">
        <v>0</v>
      </c>
      <c r="M127" s="916">
        <v>21090</v>
      </c>
      <c r="N127" s="916">
        <v>0</v>
      </c>
      <c r="O127" s="916">
        <v>0</v>
      </c>
      <c r="P127" s="916">
        <v>0</v>
      </c>
      <c r="Q127" s="916">
        <f t="shared" si="19"/>
        <v>21090</v>
      </c>
    </row>
    <row r="128" spans="1:20" hidden="1" x14ac:dyDescent="0.2">
      <c r="A128" s="2">
        <v>6100</v>
      </c>
      <c r="B128" t="s">
        <v>174</v>
      </c>
      <c r="C128" s="916">
        <v>0</v>
      </c>
      <c r="D128" s="916">
        <v>0</v>
      </c>
      <c r="E128" s="916">
        <v>0</v>
      </c>
      <c r="F128" s="916">
        <v>0</v>
      </c>
      <c r="G128" s="916">
        <v>0</v>
      </c>
      <c r="H128" s="916">
        <v>0</v>
      </c>
      <c r="I128" s="916">
        <v>0</v>
      </c>
      <c r="J128" s="916">
        <v>0</v>
      </c>
      <c r="K128" s="916">
        <v>0</v>
      </c>
      <c r="L128" s="916">
        <v>0</v>
      </c>
      <c r="M128" s="916">
        <v>0</v>
      </c>
      <c r="N128" s="916">
        <v>0</v>
      </c>
      <c r="O128" s="916">
        <v>0</v>
      </c>
      <c r="P128" s="916">
        <v>0</v>
      </c>
      <c r="Q128" s="916">
        <f t="shared" si="19"/>
        <v>0</v>
      </c>
    </row>
    <row r="129" spans="1:20" x14ac:dyDescent="0.2">
      <c r="A129" s="2">
        <v>6200</v>
      </c>
      <c r="B129" t="s">
        <v>175</v>
      </c>
      <c r="C129" s="916">
        <v>479240</v>
      </c>
      <c r="D129" s="916">
        <v>152456</v>
      </c>
      <c r="E129" s="916">
        <v>0</v>
      </c>
      <c r="F129" s="916">
        <v>0</v>
      </c>
      <c r="G129" s="916">
        <v>0</v>
      </c>
      <c r="H129" s="916">
        <v>0</v>
      </c>
      <c r="I129" s="916">
        <v>0</v>
      </c>
      <c r="J129" s="916">
        <v>0</v>
      </c>
      <c r="K129" s="916">
        <v>0</v>
      </c>
      <c r="L129" s="916">
        <v>0</v>
      </c>
      <c r="M129" s="916">
        <v>0</v>
      </c>
      <c r="N129" s="916">
        <v>0</v>
      </c>
      <c r="O129" s="916">
        <v>0</v>
      </c>
      <c r="P129" s="916">
        <v>0</v>
      </c>
      <c r="Q129" s="916">
        <f t="shared" si="19"/>
        <v>631696</v>
      </c>
    </row>
    <row r="130" spans="1:20" x14ac:dyDescent="0.2">
      <c r="A130" s="2">
        <v>6300</v>
      </c>
      <c r="B130" t="s">
        <v>176</v>
      </c>
      <c r="C130" s="916">
        <v>242070</v>
      </c>
      <c r="D130" s="916">
        <v>0</v>
      </c>
      <c r="E130" s="916">
        <v>0</v>
      </c>
      <c r="F130" s="916">
        <v>0</v>
      </c>
      <c r="G130" s="916">
        <v>0</v>
      </c>
      <c r="H130" s="916">
        <v>0</v>
      </c>
      <c r="I130" s="916">
        <v>0</v>
      </c>
      <c r="J130" s="916">
        <v>0</v>
      </c>
      <c r="K130" s="916">
        <v>0</v>
      </c>
      <c r="L130" s="916">
        <v>0</v>
      </c>
      <c r="M130" s="916">
        <v>0</v>
      </c>
      <c r="N130" s="916">
        <v>0</v>
      </c>
      <c r="O130" s="916">
        <v>0</v>
      </c>
      <c r="P130" s="916">
        <v>0</v>
      </c>
      <c r="Q130" s="916">
        <f t="shared" si="19"/>
        <v>242070</v>
      </c>
    </row>
    <row r="131" spans="1:20" x14ac:dyDescent="0.2">
      <c r="A131" s="2">
        <v>8000</v>
      </c>
      <c r="B131" t="s">
        <v>177</v>
      </c>
      <c r="C131" s="916">
        <v>492582</v>
      </c>
      <c r="D131" s="916">
        <v>342083</v>
      </c>
      <c r="E131" s="916">
        <v>26992</v>
      </c>
      <c r="F131" s="916">
        <v>0</v>
      </c>
      <c r="G131" s="916">
        <v>0</v>
      </c>
      <c r="H131" s="916">
        <v>0</v>
      </c>
      <c r="I131" s="916">
        <v>0</v>
      </c>
      <c r="J131" s="916">
        <v>10064</v>
      </c>
      <c r="K131" s="916">
        <v>43561</v>
      </c>
      <c r="L131" s="916">
        <v>79028</v>
      </c>
      <c r="M131" s="916">
        <v>1026418</v>
      </c>
      <c r="N131" s="916">
        <v>0</v>
      </c>
      <c r="O131" s="916">
        <v>25535</v>
      </c>
      <c r="P131" s="916">
        <v>0</v>
      </c>
      <c r="Q131" s="916">
        <f t="shared" si="19"/>
        <v>2046263</v>
      </c>
    </row>
    <row r="132" spans="1:20" x14ac:dyDescent="0.2">
      <c r="C132" s="916"/>
      <c r="D132" s="916"/>
      <c r="E132" s="916"/>
      <c r="F132" s="916"/>
      <c r="G132" s="916"/>
      <c r="H132" s="916"/>
      <c r="I132" s="916"/>
      <c r="J132" s="916"/>
      <c r="K132" s="916"/>
      <c r="L132" s="916"/>
      <c r="M132" s="916"/>
      <c r="N132" s="916"/>
      <c r="O132" s="916"/>
      <c r="P132" s="916"/>
      <c r="Q132" s="916"/>
    </row>
    <row r="133" spans="1:20" s="2" customFormat="1" x14ac:dyDescent="0.2">
      <c r="A133" s="53"/>
      <c r="B133" s="2" t="s">
        <v>308</v>
      </c>
      <c r="C133" s="931"/>
      <c r="D133" s="931"/>
      <c r="E133" s="931"/>
      <c r="F133" s="931"/>
      <c r="G133" s="931"/>
      <c r="H133" s="931"/>
      <c r="I133" s="931"/>
      <c r="J133" s="931"/>
      <c r="K133" s="931"/>
      <c r="L133" s="931"/>
      <c r="M133" s="931"/>
      <c r="N133" s="931"/>
      <c r="O133" s="931"/>
      <c r="P133" s="931"/>
      <c r="Q133" s="931"/>
      <c r="T133" s="53"/>
    </row>
    <row r="134" spans="1:20" hidden="1" x14ac:dyDescent="0.2">
      <c r="B134" t="s">
        <v>179</v>
      </c>
      <c r="C134" s="916">
        <v>0</v>
      </c>
      <c r="D134" s="916">
        <v>0</v>
      </c>
      <c r="E134" s="916">
        <v>0</v>
      </c>
      <c r="F134" s="916">
        <v>0</v>
      </c>
      <c r="G134" s="916">
        <v>0</v>
      </c>
      <c r="H134" s="916">
        <v>0</v>
      </c>
      <c r="I134" s="916">
        <v>0</v>
      </c>
      <c r="J134" s="916">
        <v>0</v>
      </c>
      <c r="K134" s="916">
        <v>0</v>
      </c>
      <c r="L134" s="916">
        <v>0</v>
      </c>
      <c r="M134" s="916">
        <v>0</v>
      </c>
      <c r="N134" s="916">
        <v>0</v>
      </c>
      <c r="O134" s="916">
        <v>0</v>
      </c>
      <c r="P134" s="916">
        <v>0</v>
      </c>
      <c r="Q134" s="916">
        <f t="shared" ref="Q134:Q197" si="20">SUM(C134:P134)</f>
        <v>0</v>
      </c>
    </row>
    <row r="135" spans="1:20" hidden="1" x14ac:dyDescent="0.2">
      <c r="B135" t="s">
        <v>145</v>
      </c>
      <c r="C135" s="916">
        <v>0</v>
      </c>
      <c r="D135" s="916">
        <v>0</v>
      </c>
      <c r="E135" s="916">
        <v>0</v>
      </c>
      <c r="F135" s="916">
        <v>0</v>
      </c>
      <c r="G135" s="916">
        <v>0</v>
      </c>
      <c r="H135" s="916">
        <v>0</v>
      </c>
      <c r="I135" s="916">
        <v>0</v>
      </c>
      <c r="J135" s="916">
        <v>0</v>
      </c>
      <c r="K135" s="916">
        <v>0</v>
      </c>
      <c r="L135" s="916">
        <v>0</v>
      </c>
      <c r="M135" s="916">
        <v>0</v>
      </c>
      <c r="N135" s="916">
        <v>0</v>
      </c>
      <c r="O135" s="916">
        <v>0</v>
      </c>
      <c r="P135" s="916">
        <v>0</v>
      </c>
      <c r="Q135" s="916">
        <f t="shared" si="20"/>
        <v>0</v>
      </c>
    </row>
    <row r="136" spans="1:20" hidden="1" x14ac:dyDescent="0.2">
      <c r="B136" t="s">
        <v>180</v>
      </c>
      <c r="C136" s="916">
        <v>0</v>
      </c>
      <c r="D136" s="916">
        <v>0</v>
      </c>
      <c r="E136" s="916">
        <v>0</v>
      </c>
      <c r="F136" s="916">
        <v>0</v>
      </c>
      <c r="G136" s="916">
        <v>0</v>
      </c>
      <c r="H136" s="916">
        <v>0</v>
      </c>
      <c r="I136" s="916">
        <v>0</v>
      </c>
      <c r="J136" s="916">
        <v>0</v>
      </c>
      <c r="K136" s="916">
        <v>0</v>
      </c>
      <c r="L136" s="916">
        <v>0</v>
      </c>
      <c r="M136" s="916">
        <v>0</v>
      </c>
      <c r="N136" s="916">
        <v>0</v>
      </c>
      <c r="O136" s="916">
        <v>0</v>
      </c>
      <c r="P136" s="916">
        <v>0</v>
      </c>
      <c r="Q136" s="916">
        <f t="shared" si="20"/>
        <v>0</v>
      </c>
    </row>
    <row r="137" spans="1:20" hidden="1" x14ac:dyDescent="0.2">
      <c r="B137" t="s">
        <v>181</v>
      </c>
      <c r="C137" s="916">
        <v>0</v>
      </c>
      <c r="D137" s="916">
        <v>0</v>
      </c>
      <c r="E137" s="916">
        <v>0</v>
      </c>
      <c r="F137" s="916">
        <v>0</v>
      </c>
      <c r="G137" s="916">
        <v>0</v>
      </c>
      <c r="H137" s="916">
        <v>0</v>
      </c>
      <c r="I137" s="916">
        <v>0</v>
      </c>
      <c r="J137" s="916">
        <v>0</v>
      </c>
      <c r="K137" s="916">
        <v>0</v>
      </c>
      <c r="L137" s="916">
        <v>0</v>
      </c>
      <c r="M137" s="916">
        <v>0</v>
      </c>
      <c r="N137" s="916">
        <v>0</v>
      </c>
      <c r="O137" s="916">
        <v>0</v>
      </c>
      <c r="P137" s="916">
        <v>0</v>
      </c>
      <c r="Q137" s="916">
        <f t="shared" si="20"/>
        <v>0</v>
      </c>
    </row>
    <row r="138" spans="1:20" hidden="1" x14ac:dyDescent="0.2">
      <c r="B138" t="s">
        <v>182</v>
      </c>
      <c r="C138" s="916">
        <v>0</v>
      </c>
      <c r="D138" s="916">
        <v>0</v>
      </c>
      <c r="E138" s="916">
        <v>0</v>
      </c>
      <c r="F138" s="916">
        <v>0</v>
      </c>
      <c r="G138" s="916">
        <v>0</v>
      </c>
      <c r="H138" s="916">
        <v>0</v>
      </c>
      <c r="I138" s="916">
        <v>0</v>
      </c>
      <c r="J138" s="916">
        <v>0</v>
      </c>
      <c r="K138" s="916">
        <v>0</v>
      </c>
      <c r="L138" s="916">
        <v>0</v>
      </c>
      <c r="M138" s="916">
        <v>0</v>
      </c>
      <c r="N138" s="916">
        <v>0</v>
      </c>
      <c r="O138" s="916">
        <v>0</v>
      </c>
      <c r="P138" s="916">
        <v>0</v>
      </c>
      <c r="Q138" s="916">
        <f t="shared" si="20"/>
        <v>0</v>
      </c>
    </row>
    <row r="139" spans="1:20" hidden="1" x14ac:dyDescent="0.2">
      <c r="B139" t="s">
        <v>183</v>
      </c>
      <c r="C139" s="916">
        <v>0</v>
      </c>
      <c r="D139" s="916">
        <v>0</v>
      </c>
      <c r="E139" s="916">
        <v>0</v>
      </c>
      <c r="F139" s="916">
        <v>0</v>
      </c>
      <c r="G139" s="916">
        <v>0</v>
      </c>
      <c r="H139" s="916">
        <v>0</v>
      </c>
      <c r="I139" s="916">
        <v>0</v>
      </c>
      <c r="J139" s="916">
        <v>0</v>
      </c>
      <c r="K139" s="916">
        <v>0</v>
      </c>
      <c r="L139" s="916">
        <v>0</v>
      </c>
      <c r="M139" s="916">
        <v>0</v>
      </c>
      <c r="N139" s="916">
        <v>0</v>
      </c>
      <c r="O139" s="916">
        <v>0</v>
      </c>
      <c r="P139" s="916">
        <v>0</v>
      </c>
      <c r="Q139" s="916">
        <f t="shared" si="20"/>
        <v>0</v>
      </c>
    </row>
    <row r="140" spans="1:20" hidden="1" x14ac:dyDescent="0.2">
      <c r="B140" t="s">
        <v>184</v>
      </c>
      <c r="C140" s="916">
        <v>0</v>
      </c>
      <c r="D140" s="916">
        <v>0</v>
      </c>
      <c r="E140" s="916">
        <v>0</v>
      </c>
      <c r="F140" s="916">
        <v>0</v>
      </c>
      <c r="G140" s="916">
        <v>0</v>
      </c>
      <c r="H140" s="916">
        <v>0</v>
      </c>
      <c r="I140" s="916">
        <v>0</v>
      </c>
      <c r="J140" s="916">
        <v>0</v>
      </c>
      <c r="K140" s="916">
        <v>0</v>
      </c>
      <c r="L140" s="916">
        <v>0</v>
      </c>
      <c r="M140" s="916">
        <v>0</v>
      </c>
      <c r="N140" s="916">
        <v>0</v>
      </c>
      <c r="O140" s="916">
        <v>0</v>
      </c>
      <c r="P140" s="916">
        <v>0</v>
      </c>
      <c r="Q140" s="916">
        <f t="shared" si="20"/>
        <v>0</v>
      </c>
    </row>
    <row r="141" spans="1:20" hidden="1" x14ac:dyDescent="0.2">
      <c r="B141" t="s">
        <v>185</v>
      </c>
      <c r="C141" s="916">
        <v>0</v>
      </c>
      <c r="D141" s="916">
        <v>0</v>
      </c>
      <c r="E141" s="916">
        <v>0</v>
      </c>
      <c r="F141" s="916">
        <v>0</v>
      </c>
      <c r="G141" s="916">
        <v>0</v>
      </c>
      <c r="H141" s="916">
        <v>0</v>
      </c>
      <c r="I141" s="916">
        <v>0</v>
      </c>
      <c r="J141" s="916">
        <v>0</v>
      </c>
      <c r="K141" s="916">
        <v>0</v>
      </c>
      <c r="L141" s="916">
        <v>0</v>
      </c>
      <c r="M141" s="916">
        <v>0</v>
      </c>
      <c r="N141" s="916">
        <v>0</v>
      </c>
      <c r="O141" s="916">
        <v>0</v>
      </c>
      <c r="P141" s="916">
        <v>0</v>
      </c>
      <c r="Q141" s="916">
        <f t="shared" si="20"/>
        <v>0</v>
      </c>
    </row>
    <row r="142" spans="1:20" hidden="1" x14ac:dyDescent="0.2">
      <c r="B142" t="s">
        <v>186</v>
      </c>
      <c r="C142" s="916">
        <v>0</v>
      </c>
      <c r="D142" s="916">
        <v>0</v>
      </c>
      <c r="E142" s="916">
        <v>0</v>
      </c>
      <c r="F142" s="916">
        <v>0</v>
      </c>
      <c r="G142" s="916">
        <v>0</v>
      </c>
      <c r="H142" s="916">
        <v>0</v>
      </c>
      <c r="I142" s="916">
        <v>0</v>
      </c>
      <c r="J142" s="916">
        <v>0</v>
      </c>
      <c r="K142" s="916">
        <v>0</v>
      </c>
      <c r="L142" s="916">
        <v>0</v>
      </c>
      <c r="M142" s="916">
        <v>0</v>
      </c>
      <c r="N142" s="916">
        <v>0</v>
      </c>
      <c r="O142" s="916">
        <v>0</v>
      </c>
      <c r="P142" s="916">
        <v>0</v>
      </c>
      <c r="Q142" s="916">
        <f t="shared" si="20"/>
        <v>0</v>
      </c>
    </row>
    <row r="143" spans="1:20" x14ac:dyDescent="0.2">
      <c r="B143" t="s">
        <v>187</v>
      </c>
      <c r="C143" s="916">
        <v>0</v>
      </c>
      <c r="D143" s="916">
        <v>0</v>
      </c>
      <c r="E143" s="916">
        <v>0</v>
      </c>
      <c r="F143" s="916">
        <v>0</v>
      </c>
      <c r="G143" s="916">
        <v>0</v>
      </c>
      <c r="H143" s="916">
        <v>0</v>
      </c>
      <c r="I143" s="916">
        <v>0</v>
      </c>
      <c r="J143" s="916">
        <v>0</v>
      </c>
      <c r="K143" s="916">
        <v>0</v>
      </c>
      <c r="L143" s="916">
        <v>0</v>
      </c>
      <c r="M143" s="916">
        <v>0</v>
      </c>
      <c r="N143" s="916">
        <v>0</v>
      </c>
      <c r="O143" s="916">
        <v>0</v>
      </c>
      <c r="P143" s="916">
        <v>-63073</v>
      </c>
      <c r="Q143" s="916">
        <f t="shared" si="20"/>
        <v>-63073</v>
      </c>
    </row>
    <row r="144" spans="1:20" x14ac:dyDescent="0.2">
      <c r="B144" t="s">
        <v>188</v>
      </c>
      <c r="C144" s="916">
        <v>0</v>
      </c>
      <c r="D144" s="916">
        <v>0</v>
      </c>
      <c r="E144" s="916">
        <v>0</v>
      </c>
      <c r="F144" s="916">
        <v>0</v>
      </c>
      <c r="G144" s="916">
        <v>0</v>
      </c>
      <c r="H144" s="916">
        <v>0</v>
      </c>
      <c r="I144" s="916">
        <v>0</v>
      </c>
      <c r="J144" s="916">
        <v>0</v>
      </c>
      <c r="K144" s="916">
        <v>0</v>
      </c>
      <c r="L144" s="916">
        <v>0</v>
      </c>
      <c r="M144" s="916">
        <v>0</v>
      </c>
      <c r="N144" s="916">
        <v>0</v>
      </c>
      <c r="O144" s="916">
        <v>0</v>
      </c>
      <c r="P144" s="916">
        <v>-252456</v>
      </c>
      <c r="Q144" s="916">
        <f t="shared" si="20"/>
        <v>-252456</v>
      </c>
    </row>
    <row r="145" spans="2:17" hidden="1" x14ac:dyDescent="0.2">
      <c r="B145" t="s">
        <v>189</v>
      </c>
      <c r="C145" s="916">
        <v>0</v>
      </c>
      <c r="D145" s="916">
        <v>0</v>
      </c>
      <c r="E145" s="916">
        <v>0</v>
      </c>
      <c r="F145" s="916">
        <v>0</v>
      </c>
      <c r="G145" s="916">
        <v>0</v>
      </c>
      <c r="H145" s="916">
        <v>0</v>
      </c>
      <c r="I145" s="916">
        <v>0</v>
      </c>
      <c r="J145" s="916">
        <v>0</v>
      </c>
      <c r="K145" s="916">
        <v>0</v>
      </c>
      <c r="L145" s="916">
        <v>0</v>
      </c>
      <c r="M145" s="916">
        <v>0</v>
      </c>
      <c r="N145" s="916">
        <v>0</v>
      </c>
      <c r="O145" s="916">
        <v>0</v>
      </c>
      <c r="P145" s="916">
        <v>0</v>
      </c>
      <c r="Q145" s="916">
        <f t="shared" si="20"/>
        <v>0</v>
      </c>
    </row>
    <row r="146" spans="2:17" hidden="1" x14ac:dyDescent="0.2">
      <c r="B146" t="s">
        <v>190</v>
      </c>
      <c r="C146" s="916">
        <v>0</v>
      </c>
      <c r="D146" s="916">
        <v>0</v>
      </c>
      <c r="E146" s="916">
        <v>0</v>
      </c>
      <c r="F146" s="916">
        <v>0</v>
      </c>
      <c r="G146" s="916">
        <v>0</v>
      </c>
      <c r="H146" s="916">
        <v>0</v>
      </c>
      <c r="I146" s="916">
        <v>0</v>
      </c>
      <c r="J146" s="916">
        <v>0</v>
      </c>
      <c r="K146" s="916">
        <v>0</v>
      </c>
      <c r="L146" s="916">
        <v>0</v>
      </c>
      <c r="M146" s="916">
        <v>0</v>
      </c>
      <c r="N146" s="916">
        <v>0</v>
      </c>
      <c r="O146" s="916">
        <v>0</v>
      </c>
      <c r="P146" s="916">
        <v>0</v>
      </c>
      <c r="Q146" s="916">
        <f t="shared" si="20"/>
        <v>0</v>
      </c>
    </row>
    <row r="147" spans="2:17" hidden="1" x14ac:dyDescent="0.2">
      <c r="B147" t="s">
        <v>191</v>
      </c>
      <c r="C147" s="916">
        <v>0</v>
      </c>
      <c r="D147" s="916">
        <v>0</v>
      </c>
      <c r="E147" s="916">
        <v>0</v>
      </c>
      <c r="F147" s="916">
        <v>0</v>
      </c>
      <c r="G147" s="916">
        <v>0</v>
      </c>
      <c r="H147" s="916">
        <v>0</v>
      </c>
      <c r="I147" s="916">
        <v>0</v>
      </c>
      <c r="J147" s="916">
        <v>0</v>
      </c>
      <c r="K147" s="916">
        <v>0</v>
      </c>
      <c r="L147" s="916">
        <v>0</v>
      </c>
      <c r="M147" s="916">
        <v>0</v>
      </c>
      <c r="N147" s="916">
        <v>0</v>
      </c>
      <c r="O147" s="916">
        <v>0</v>
      </c>
      <c r="P147" s="916">
        <v>0</v>
      </c>
      <c r="Q147" s="916">
        <f t="shared" si="20"/>
        <v>0</v>
      </c>
    </row>
    <row r="148" spans="2:17" hidden="1" x14ac:dyDescent="0.2">
      <c r="B148" t="s">
        <v>192</v>
      </c>
      <c r="C148" s="916">
        <v>0</v>
      </c>
      <c r="D148" s="916">
        <v>0</v>
      </c>
      <c r="E148" s="916">
        <v>0</v>
      </c>
      <c r="F148" s="916">
        <v>0</v>
      </c>
      <c r="G148" s="916">
        <v>0</v>
      </c>
      <c r="H148" s="916">
        <v>0</v>
      </c>
      <c r="I148" s="916">
        <v>0</v>
      </c>
      <c r="J148" s="916">
        <v>0</v>
      </c>
      <c r="K148" s="916">
        <v>0</v>
      </c>
      <c r="L148" s="916">
        <v>0</v>
      </c>
      <c r="M148" s="916">
        <v>0</v>
      </c>
      <c r="N148" s="916">
        <v>0</v>
      </c>
      <c r="O148" s="916">
        <v>0</v>
      </c>
      <c r="P148" s="916">
        <v>0</v>
      </c>
      <c r="Q148" s="916">
        <f t="shared" si="20"/>
        <v>0</v>
      </c>
    </row>
    <row r="149" spans="2:17" hidden="1" x14ac:dyDescent="0.2">
      <c r="B149" t="s">
        <v>193</v>
      </c>
      <c r="C149" s="916">
        <v>0</v>
      </c>
      <c r="D149" s="916">
        <v>0</v>
      </c>
      <c r="E149" s="916">
        <v>0</v>
      </c>
      <c r="F149" s="916">
        <v>0</v>
      </c>
      <c r="G149" s="916">
        <v>0</v>
      </c>
      <c r="H149" s="916">
        <v>0</v>
      </c>
      <c r="I149" s="916">
        <v>0</v>
      </c>
      <c r="J149" s="916">
        <v>0</v>
      </c>
      <c r="K149" s="916">
        <v>0</v>
      </c>
      <c r="L149" s="916">
        <v>0</v>
      </c>
      <c r="M149" s="916">
        <v>0</v>
      </c>
      <c r="N149" s="916">
        <v>0</v>
      </c>
      <c r="O149" s="916">
        <v>0</v>
      </c>
      <c r="P149" s="916">
        <v>0</v>
      </c>
      <c r="Q149" s="916">
        <f t="shared" si="20"/>
        <v>0</v>
      </c>
    </row>
    <row r="150" spans="2:17" hidden="1" x14ac:dyDescent="0.2">
      <c r="B150" t="s">
        <v>194</v>
      </c>
      <c r="C150" s="916">
        <v>0</v>
      </c>
      <c r="D150" s="916">
        <v>0</v>
      </c>
      <c r="E150" s="916">
        <v>0</v>
      </c>
      <c r="F150" s="916">
        <v>0</v>
      </c>
      <c r="G150" s="916">
        <v>0</v>
      </c>
      <c r="H150" s="916">
        <v>0</v>
      </c>
      <c r="I150" s="916">
        <v>0</v>
      </c>
      <c r="J150" s="916">
        <v>0</v>
      </c>
      <c r="K150" s="916">
        <v>0</v>
      </c>
      <c r="L150" s="916">
        <v>0</v>
      </c>
      <c r="M150" s="916">
        <v>0</v>
      </c>
      <c r="N150" s="916">
        <v>0</v>
      </c>
      <c r="O150" s="916">
        <v>0</v>
      </c>
      <c r="P150" s="916">
        <v>0</v>
      </c>
      <c r="Q150" s="916">
        <f t="shared" si="20"/>
        <v>0</v>
      </c>
    </row>
    <row r="151" spans="2:17" hidden="1" x14ac:dyDescent="0.2">
      <c r="B151" t="s">
        <v>195</v>
      </c>
      <c r="C151" s="916">
        <v>0</v>
      </c>
      <c r="D151" s="916">
        <v>0</v>
      </c>
      <c r="E151" s="916">
        <v>0</v>
      </c>
      <c r="F151" s="916">
        <v>0</v>
      </c>
      <c r="G151" s="916">
        <v>0</v>
      </c>
      <c r="H151" s="916">
        <v>0</v>
      </c>
      <c r="I151" s="916">
        <v>0</v>
      </c>
      <c r="J151" s="916">
        <v>0</v>
      </c>
      <c r="K151" s="916">
        <v>0</v>
      </c>
      <c r="L151" s="916">
        <v>0</v>
      </c>
      <c r="M151" s="916">
        <v>0</v>
      </c>
      <c r="N151" s="916">
        <v>0</v>
      </c>
      <c r="O151" s="916">
        <v>0</v>
      </c>
      <c r="P151" s="916">
        <v>0</v>
      </c>
      <c r="Q151" s="916">
        <f t="shared" si="20"/>
        <v>0</v>
      </c>
    </row>
    <row r="152" spans="2:17" hidden="1" x14ac:dyDescent="0.2">
      <c r="B152" t="s">
        <v>196</v>
      </c>
      <c r="C152" s="916">
        <v>0</v>
      </c>
      <c r="D152" s="916">
        <v>0</v>
      </c>
      <c r="E152" s="916">
        <v>0</v>
      </c>
      <c r="F152" s="916">
        <v>0</v>
      </c>
      <c r="G152" s="916">
        <v>0</v>
      </c>
      <c r="H152" s="916">
        <v>0</v>
      </c>
      <c r="I152" s="916">
        <v>0</v>
      </c>
      <c r="J152" s="916">
        <v>0</v>
      </c>
      <c r="K152" s="916">
        <v>0</v>
      </c>
      <c r="L152" s="916">
        <v>0</v>
      </c>
      <c r="M152" s="916">
        <v>0</v>
      </c>
      <c r="N152" s="916">
        <v>0</v>
      </c>
      <c r="O152" s="916">
        <v>0</v>
      </c>
      <c r="P152" s="916">
        <v>0</v>
      </c>
      <c r="Q152" s="916">
        <f t="shared" si="20"/>
        <v>0</v>
      </c>
    </row>
    <row r="153" spans="2:17" hidden="1" x14ac:dyDescent="0.2">
      <c r="B153" t="s">
        <v>197</v>
      </c>
      <c r="C153" s="916">
        <v>0</v>
      </c>
      <c r="D153" s="916">
        <v>0</v>
      </c>
      <c r="E153" s="916">
        <v>0</v>
      </c>
      <c r="F153" s="916">
        <v>0</v>
      </c>
      <c r="G153" s="916">
        <v>0</v>
      </c>
      <c r="H153" s="916">
        <v>0</v>
      </c>
      <c r="I153" s="916">
        <v>0</v>
      </c>
      <c r="J153" s="916">
        <v>0</v>
      </c>
      <c r="K153" s="916">
        <v>0</v>
      </c>
      <c r="L153" s="916">
        <v>0</v>
      </c>
      <c r="M153" s="916">
        <v>0</v>
      </c>
      <c r="N153" s="916">
        <v>0</v>
      </c>
      <c r="O153" s="916">
        <v>0</v>
      </c>
      <c r="P153" s="916">
        <v>0</v>
      </c>
      <c r="Q153" s="916">
        <f t="shared" si="20"/>
        <v>0</v>
      </c>
    </row>
    <row r="154" spans="2:17" hidden="1" x14ac:dyDescent="0.2">
      <c r="B154" t="s">
        <v>198</v>
      </c>
      <c r="C154" s="916">
        <v>0</v>
      </c>
      <c r="D154" s="916">
        <v>0</v>
      </c>
      <c r="E154" s="916">
        <v>0</v>
      </c>
      <c r="F154" s="916">
        <v>0</v>
      </c>
      <c r="G154" s="916">
        <v>0</v>
      </c>
      <c r="H154" s="916">
        <v>0</v>
      </c>
      <c r="I154" s="916">
        <v>0</v>
      </c>
      <c r="J154" s="916">
        <v>0</v>
      </c>
      <c r="K154" s="916">
        <v>0</v>
      </c>
      <c r="L154" s="916">
        <v>0</v>
      </c>
      <c r="M154" s="916">
        <v>0</v>
      </c>
      <c r="N154" s="916">
        <v>0</v>
      </c>
      <c r="O154" s="916">
        <v>0</v>
      </c>
      <c r="P154" s="916">
        <v>0</v>
      </c>
      <c r="Q154" s="916">
        <f t="shared" si="20"/>
        <v>0</v>
      </c>
    </row>
    <row r="155" spans="2:17" hidden="1" x14ac:dyDescent="0.2">
      <c r="B155" t="s">
        <v>199</v>
      </c>
      <c r="C155" s="916">
        <v>0</v>
      </c>
      <c r="D155" s="916">
        <v>0</v>
      </c>
      <c r="E155" s="916">
        <v>0</v>
      </c>
      <c r="F155" s="916">
        <v>0</v>
      </c>
      <c r="G155" s="916">
        <v>0</v>
      </c>
      <c r="H155" s="916">
        <v>0</v>
      </c>
      <c r="I155" s="916">
        <v>0</v>
      </c>
      <c r="J155" s="916">
        <v>0</v>
      </c>
      <c r="K155" s="916">
        <v>0</v>
      </c>
      <c r="L155" s="916">
        <v>0</v>
      </c>
      <c r="M155" s="916">
        <v>0</v>
      </c>
      <c r="N155" s="916">
        <v>0</v>
      </c>
      <c r="O155" s="916">
        <v>0</v>
      </c>
      <c r="P155" s="916">
        <v>0</v>
      </c>
      <c r="Q155" s="916">
        <f t="shared" si="20"/>
        <v>0</v>
      </c>
    </row>
    <row r="156" spans="2:17" hidden="1" x14ac:dyDescent="0.2">
      <c r="B156" t="s">
        <v>200</v>
      </c>
      <c r="C156" s="916">
        <v>0</v>
      </c>
      <c r="D156" s="916">
        <v>0</v>
      </c>
      <c r="E156" s="916">
        <v>0</v>
      </c>
      <c r="F156" s="916">
        <v>0</v>
      </c>
      <c r="G156" s="916">
        <v>0</v>
      </c>
      <c r="H156" s="916">
        <v>0</v>
      </c>
      <c r="I156" s="916">
        <v>0</v>
      </c>
      <c r="J156" s="916">
        <v>0</v>
      </c>
      <c r="K156" s="916">
        <v>0</v>
      </c>
      <c r="L156" s="916">
        <v>0</v>
      </c>
      <c r="M156" s="916">
        <v>0</v>
      </c>
      <c r="N156" s="916">
        <v>0</v>
      </c>
      <c r="O156" s="916">
        <v>0</v>
      </c>
      <c r="P156" s="916">
        <v>0</v>
      </c>
      <c r="Q156" s="916">
        <f t="shared" si="20"/>
        <v>0</v>
      </c>
    </row>
    <row r="157" spans="2:17" hidden="1" x14ac:dyDescent="0.2">
      <c r="B157" t="s">
        <v>201</v>
      </c>
      <c r="C157" s="916">
        <v>0</v>
      </c>
      <c r="D157" s="916">
        <v>0</v>
      </c>
      <c r="E157" s="916">
        <v>0</v>
      </c>
      <c r="F157" s="916">
        <v>0</v>
      </c>
      <c r="G157" s="916">
        <v>0</v>
      </c>
      <c r="H157" s="916">
        <v>0</v>
      </c>
      <c r="I157" s="916">
        <v>0</v>
      </c>
      <c r="J157" s="916">
        <v>0</v>
      </c>
      <c r="K157" s="916">
        <v>0</v>
      </c>
      <c r="L157" s="916">
        <v>0</v>
      </c>
      <c r="M157" s="916">
        <v>0</v>
      </c>
      <c r="N157" s="916">
        <v>0</v>
      </c>
      <c r="O157" s="916">
        <v>0</v>
      </c>
      <c r="P157" s="916">
        <v>0</v>
      </c>
      <c r="Q157" s="916">
        <f t="shared" si="20"/>
        <v>0</v>
      </c>
    </row>
    <row r="158" spans="2:17" hidden="1" x14ac:dyDescent="0.2">
      <c r="B158" t="s">
        <v>202</v>
      </c>
      <c r="C158" s="916">
        <v>0</v>
      </c>
      <c r="D158" s="916">
        <v>0</v>
      </c>
      <c r="E158" s="916">
        <v>0</v>
      </c>
      <c r="F158" s="916">
        <v>0</v>
      </c>
      <c r="G158" s="916">
        <v>0</v>
      </c>
      <c r="H158" s="916">
        <v>0</v>
      </c>
      <c r="I158" s="916">
        <v>0</v>
      </c>
      <c r="J158" s="916">
        <v>0</v>
      </c>
      <c r="K158" s="916">
        <v>0</v>
      </c>
      <c r="L158" s="916">
        <v>0</v>
      </c>
      <c r="M158" s="916">
        <v>0</v>
      </c>
      <c r="N158" s="916">
        <v>0</v>
      </c>
      <c r="O158" s="916">
        <v>0</v>
      </c>
      <c r="P158" s="916">
        <v>0</v>
      </c>
      <c r="Q158" s="916">
        <f t="shared" si="20"/>
        <v>0</v>
      </c>
    </row>
    <row r="159" spans="2:17" hidden="1" x14ac:dyDescent="0.2">
      <c r="B159" t="s">
        <v>203</v>
      </c>
      <c r="C159" s="916">
        <v>0</v>
      </c>
      <c r="D159" s="916">
        <v>0</v>
      </c>
      <c r="E159" s="916">
        <v>0</v>
      </c>
      <c r="F159" s="916">
        <v>0</v>
      </c>
      <c r="G159" s="916">
        <v>0</v>
      </c>
      <c r="H159" s="916">
        <v>0</v>
      </c>
      <c r="I159" s="916">
        <v>0</v>
      </c>
      <c r="J159" s="916">
        <v>0</v>
      </c>
      <c r="K159" s="916">
        <v>0</v>
      </c>
      <c r="L159" s="916">
        <v>0</v>
      </c>
      <c r="M159" s="916">
        <v>0</v>
      </c>
      <c r="N159" s="916">
        <v>0</v>
      </c>
      <c r="O159" s="916">
        <v>0</v>
      </c>
      <c r="P159" s="916">
        <v>0</v>
      </c>
      <c r="Q159" s="916">
        <f t="shared" si="20"/>
        <v>0</v>
      </c>
    </row>
    <row r="160" spans="2:17" hidden="1" x14ac:dyDescent="0.2">
      <c r="B160" t="s">
        <v>204</v>
      </c>
      <c r="C160" s="916">
        <v>0</v>
      </c>
      <c r="D160" s="916">
        <v>0</v>
      </c>
      <c r="E160" s="916">
        <v>0</v>
      </c>
      <c r="F160" s="916">
        <v>0</v>
      </c>
      <c r="G160" s="916">
        <v>0</v>
      </c>
      <c r="H160" s="916">
        <v>0</v>
      </c>
      <c r="I160" s="916">
        <v>0</v>
      </c>
      <c r="J160" s="916">
        <v>0</v>
      </c>
      <c r="K160" s="916">
        <v>0</v>
      </c>
      <c r="L160" s="916">
        <v>0</v>
      </c>
      <c r="M160" s="916">
        <v>0</v>
      </c>
      <c r="N160" s="916">
        <v>0</v>
      </c>
      <c r="O160" s="916">
        <v>0</v>
      </c>
      <c r="P160" s="916">
        <v>0</v>
      </c>
      <c r="Q160" s="916">
        <f t="shared" si="20"/>
        <v>0</v>
      </c>
    </row>
    <row r="161" spans="2:17" hidden="1" x14ac:dyDescent="0.2">
      <c r="B161" t="s">
        <v>205</v>
      </c>
      <c r="C161" s="916">
        <v>0</v>
      </c>
      <c r="D161" s="916">
        <v>0</v>
      </c>
      <c r="E161" s="916">
        <v>0</v>
      </c>
      <c r="F161" s="916">
        <v>0</v>
      </c>
      <c r="G161" s="916">
        <v>0</v>
      </c>
      <c r="H161" s="916">
        <v>0</v>
      </c>
      <c r="I161" s="916">
        <v>0</v>
      </c>
      <c r="J161" s="916">
        <v>0</v>
      </c>
      <c r="K161" s="916">
        <v>0</v>
      </c>
      <c r="L161" s="916">
        <v>0</v>
      </c>
      <c r="M161" s="916">
        <v>0</v>
      </c>
      <c r="N161" s="916">
        <v>0</v>
      </c>
      <c r="O161" s="916">
        <v>0</v>
      </c>
      <c r="P161" s="916">
        <v>0</v>
      </c>
      <c r="Q161" s="916">
        <f t="shared" si="20"/>
        <v>0</v>
      </c>
    </row>
    <row r="162" spans="2:17" x14ac:dyDescent="0.2">
      <c r="B162" t="s">
        <v>206</v>
      </c>
      <c r="C162" s="916">
        <v>0</v>
      </c>
      <c r="D162" s="916">
        <v>0</v>
      </c>
      <c r="E162" s="916">
        <v>0</v>
      </c>
      <c r="F162" s="916">
        <v>0</v>
      </c>
      <c r="G162" s="916">
        <v>0</v>
      </c>
      <c r="H162" s="916">
        <v>0</v>
      </c>
      <c r="I162" s="916">
        <v>0</v>
      </c>
      <c r="J162" s="916">
        <v>0</v>
      </c>
      <c r="K162" s="916">
        <v>0</v>
      </c>
      <c r="L162" s="916">
        <v>0</v>
      </c>
      <c r="M162" s="916">
        <v>0</v>
      </c>
      <c r="N162" s="916">
        <v>0</v>
      </c>
      <c r="O162" s="916">
        <v>0</v>
      </c>
      <c r="P162" s="916">
        <v>-88000</v>
      </c>
      <c r="Q162" s="916">
        <f t="shared" si="20"/>
        <v>-88000</v>
      </c>
    </row>
    <row r="163" spans="2:17" hidden="1" x14ac:dyDescent="0.2">
      <c r="B163" t="s">
        <v>207</v>
      </c>
      <c r="C163" s="916">
        <v>0</v>
      </c>
      <c r="D163" s="916">
        <v>0</v>
      </c>
      <c r="E163" s="916">
        <v>0</v>
      </c>
      <c r="F163" s="916">
        <v>0</v>
      </c>
      <c r="G163" s="916">
        <v>0</v>
      </c>
      <c r="H163" s="916">
        <v>0</v>
      </c>
      <c r="I163" s="916">
        <v>0</v>
      </c>
      <c r="J163" s="916">
        <v>0</v>
      </c>
      <c r="K163" s="916">
        <v>0</v>
      </c>
      <c r="L163" s="916">
        <v>0</v>
      </c>
      <c r="M163" s="916">
        <v>0</v>
      </c>
      <c r="N163" s="916">
        <v>0</v>
      </c>
      <c r="O163" s="916">
        <v>0</v>
      </c>
      <c r="P163" s="916">
        <v>0</v>
      </c>
      <c r="Q163" s="916">
        <f t="shared" si="20"/>
        <v>0</v>
      </c>
    </row>
    <row r="164" spans="2:17" hidden="1" x14ac:dyDescent="0.2">
      <c r="B164" t="s">
        <v>208</v>
      </c>
      <c r="C164" s="916">
        <v>0</v>
      </c>
      <c r="D164" s="916">
        <v>0</v>
      </c>
      <c r="E164" s="916">
        <v>0</v>
      </c>
      <c r="F164" s="916">
        <v>0</v>
      </c>
      <c r="G164" s="916">
        <v>0</v>
      </c>
      <c r="H164" s="916">
        <v>0</v>
      </c>
      <c r="I164" s="916">
        <v>0</v>
      </c>
      <c r="J164" s="916">
        <v>0</v>
      </c>
      <c r="K164" s="916">
        <v>0</v>
      </c>
      <c r="L164" s="916">
        <v>0</v>
      </c>
      <c r="M164" s="916">
        <v>0</v>
      </c>
      <c r="N164" s="916">
        <v>0</v>
      </c>
      <c r="O164" s="916">
        <v>0</v>
      </c>
      <c r="P164" s="916">
        <v>0</v>
      </c>
      <c r="Q164" s="916">
        <f t="shared" si="20"/>
        <v>0</v>
      </c>
    </row>
    <row r="165" spans="2:17" hidden="1" x14ac:dyDescent="0.2">
      <c r="B165" t="s">
        <v>209</v>
      </c>
      <c r="C165" s="916">
        <v>0</v>
      </c>
      <c r="D165" s="916">
        <v>0</v>
      </c>
      <c r="E165" s="916">
        <v>0</v>
      </c>
      <c r="F165" s="916">
        <v>0</v>
      </c>
      <c r="G165" s="916">
        <v>0</v>
      </c>
      <c r="H165" s="916">
        <v>0</v>
      </c>
      <c r="I165" s="916">
        <v>0</v>
      </c>
      <c r="J165" s="916">
        <v>0</v>
      </c>
      <c r="K165" s="916">
        <v>0</v>
      </c>
      <c r="L165" s="916">
        <v>0</v>
      </c>
      <c r="M165" s="916">
        <v>0</v>
      </c>
      <c r="N165" s="916">
        <v>0</v>
      </c>
      <c r="O165" s="916">
        <v>0</v>
      </c>
      <c r="P165" s="916">
        <v>0</v>
      </c>
      <c r="Q165" s="916">
        <f t="shared" si="20"/>
        <v>0</v>
      </c>
    </row>
    <row r="166" spans="2:17" hidden="1" x14ac:dyDescent="0.2">
      <c r="B166" t="s">
        <v>210</v>
      </c>
      <c r="C166" s="916">
        <v>0</v>
      </c>
      <c r="D166" s="916">
        <v>0</v>
      </c>
      <c r="E166" s="916">
        <v>0</v>
      </c>
      <c r="F166" s="916">
        <v>0</v>
      </c>
      <c r="G166" s="916">
        <v>0</v>
      </c>
      <c r="H166" s="916">
        <v>0</v>
      </c>
      <c r="I166" s="916">
        <v>0</v>
      </c>
      <c r="J166" s="916">
        <v>0</v>
      </c>
      <c r="K166" s="916">
        <v>0</v>
      </c>
      <c r="L166" s="916">
        <v>0</v>
      </c>
      <c r="M166" s="916">
        <v>0</v>
      </c>
      <c r="N166" s="916">
        <v>0</v>
      </c>
      <c r="O166" s="916">
        <v>0</v>
      </c>
      <c r="P166" s="916">
        <v>0</v>
      </c>
      <c r="Q166" s="916">
        <f t="shared" si="20"/>
        <v>0</v>
      </c>
    </row>
    <row r="167" spans="2:17" hidden="1" x14ac:dyDescent="0.2">
      <c r="B167" t="s">
        <v>211</v>
      </c>
      <c r="C167" s="916">
        <v>0</v>
      </c>
      <c r="D167" s="916">
        <v>0</v>
      </c>
      <c r="E167" s="916">
        <v>0</v>
      </c>
      <c r="F167" s="916">
        <v>0</v>
      </c>
      <c r="G167" s="916">
        <v>0</v>
      </c>
      <c r="H167" s="916">
        <v>0</v>
      </c>
      <c r="I167" s="916">
        <v>0</v>
      </c>
      <c r="J167" s="916">
        <v>0</v>
      </c>
      <c r="K167" s="916">
        <v>0</v>
      </c>
      <c r="L167" s="916">
        <v>0</v>
      </c>
      <c r="M167" s="916">
        <v>0</v>
      </c>
      <c r="N167" s="916">
        <v>0</v>
      </c>
      <c r="O167" s="916">
        <v>0</v>
      </c>
      <c r="P167" s="916">
        <v>0</v>
      </c>
      <c r="Q167" s="916">
        <f t="shared" si="20"/>
        <v>0</v>
      </c>
    </row>
    <row r="168" spans="2:17" hidden="1" x14ac:dyDescent="0.2">
      <c r="B168" t="s">
        <v>212</v>
      </c>
      <c r="C168" s="916">
        <v>0</v>
      </c>
      <c r="D168" s="916">
        <v>0</v>
      </c>
      <c r="E168" s="916">
        <v>0</v>
      </c>
      <c r="F168" s="916">
        <v>0</v>
      </c>
      <c r="G168" s="916">
        <v>0</v>
      </c>
      <c r="H168" s="916">
        <v>0</v>
      </c>
      <c r="I168" s="916">
        <v>0</v>
      </c>
      <c r="J168" s="916">
        <v>0</v>
      </c>
      <c r="K168" s="916">
        <v>0</v>
      </c>
      <c r="L168" s="916">
        <v>0</v>
      </c>
      <c r="M168" s="916">
        <v>0</v>
      </c>
      <c r="N168" s="916">
        <v>0</v>
      </c>
      <c r="O168" s="916">
        <v>0</v>
      </c>
      <c r="P168" s="916">
        <v>0</v>
      </c>
      <c r="Q168" s="916">
        <f t="shared" si="20"/>
        <v>0</v>
      </c>
    </row>
    <row r="169" spans="2:17" hidden="1" x14ac:dyDescent="0.2">
      <c r="B169" t="s">
        <v>213</v>
      </c>
      <c r="C169" s="916">
        <v>0</v>
      </c>
      <c r="D169" s="916">
        <v>0</v>
      </c>
      <c r="E169" s="916">
        <v>0</v>
      </c>
      <c r="F169" s="916">
        <v>0</v>
      </c>
      <c r="G169" s="916">
        <v>0</v>
      </c>
      <c r="H169" s="916">
        <v>0</v>
      </c>
      <c r="I169" s="916">
        <v>0</v>
      </c>
      <c r="J169" s="916">
        <v>0</v>
      </c>
      <c r="K169" s="916">
        <v>0</v>
      </c>
      <c r="L169" s="916">
        <v>0</v>
      </c>
      <c r="M169" s="916">
        <v>0</v>
      </c>
      <c r="N169" s="916">
        <v>0</v>
      </c>
      <c r="O169" s="916">
        <v>0</v>
      </c>
      <c r="P169" s="916">
        <v>0</v>
      </c>
      <c r="Q169" s="916">
        <f t="shared" si="20"/>
        <v>0</v>
      </c>
    </row>
    <row r="170" spans="2:17" hidden="1" x14ac:dyDescent="0.2">
      <c r="B170" t="s">
        <v>214</v>
      </c>
      <c r="C170" s="916">
        <v>0</v>
      </c>
      <c r="D170" s="916">
        <v>0</v>
      </c>
      <c r="E170" s="916">
        <v>0</v>
      </c>
      <c r="F170" s="916">
        <v>0</v>
      </c>
      <c r="G170" s="916">
        <v>0</v>
      </c>
      <c r="H170" s="916">
        <v>0</v>
      </c>
      <c r="I170" s="916">
        <v>0</v>
      </c>
      <c r="J170" s="916">
        <v>0</v>
      </c>
      <c r="K170" s="916">
        <v>0</v>
      </c>
      <c r="L170" s="916">
        <v>0</v>
      </c>
      <c r="M170" s="916">
        <v>0</v>
      </c>
      <c r="N170" s="916">
        <v>0</v>
      </c>
      <c r="O170" s="916">
        <v>0</v>
      </c>
      <c r="P170" s="916">
        <v>0</v>
      </c>
      <c r="Q170" s="916">
        <f t="shared" si="20"/>
        <v>0</v>
      </c>
    </row>
    <row r="171" spans="2:17" hidden="1" x14ac:dyDescent="0.2">
      <c r="B171" t="s">
        <v>215</v>
      </c>
      <c r="C171" s="916">
        <v>0</v>
      </c>
      <c r="D171" s="916">
        <v>0</v>
      </c>
      <c r="E171" s="916">
        <v>0</v>
      </c>
      <c r="F171" s="916">
        <v>0</v>
      </c>
      <c r="G171" s="916">
        <v>0</v>
      </c>
      <c r="H171" s="916">
        <v>0</v>
      </c>
      <c r="I171" s="916">
        <v>0</v>
      </c>
      <c r="J171" s="916">
        <v>0</v>
      </c>
      <c r="K171" s="916">
        <v>0</v>
      </c>
      <c r="L171" s="916">
        <v>0</v>
      </c>
      <c r="M171" s="916">
        <v>0</v>
      </c>
      <c r="N171" s="916">
        <v>0</v>
      </c>
      <c r="O171" s="916">
        <v>0</v>
      </c>
      <c r="P171" s="916">
        <v>0</v>
      </c>
      <c r="Q171" s="916">
        <f t="shared" si="20"/>
        <v>0</v>
      </c>
    </row>
    <row r="172" spans="2:17" hidden="1" x14ac:dyDescent="0.2">
      <c r="B172" t="s">
        <v>216</v>
      </c>
      <c r="C172" s="916">
        <v>0</v>
      </c>
      <c r="D172" s="916">
        <v>0</v>
      </c>
      <c r="E172" s="916">
        <v>0</v>
      </c>
      <c r="F172" s="916">
        <v>0</v>
      </c>
      <c r="G172" s="916">
        <v>0</v>
      </c>
      <c r="H172" s="916">
        <v>0</v>
      </c>
      <c r="I172" s="916">
        <v>0</v>
      </c>
      <c r="J172" s="916">
        <v>0</v>
      </c>
      <c r="K172" s="916">
        <v>0</v>
      </c>
      <c r="L172" s="916">
        <v>0</v>
      </c>
      <c r="M172" s="916">
        <v>0</v>
      </c>
      <c r="N172" s="916">
        <v>0</v>
      </c>
      <c r="O172" s="916">
        <v>0</v>
      </c>
      <c r="P172" s="916">
        <v>0</v>
      </c>
      <c r="Q172" s="916">
        <f t="shared" si="20"/>
        <v>0</v>
      </c>
    </row>
    <row r="173" spans="2:17" hidden="1" x14ac:dyDescent="0.2">
      <c r="B173" t="s">
        <v>217</v>
      </c>
      <c r="C173" s="916">
        <v>0</v>
      </c>
      <c r="D173" s="916">
        <v>0</v>
      </c>
      <c r="E173" s="916">
        <v>0</v>
      </c>
      <c r="F173" s="916">
        <v>0</v>
      </c>
      <c r="G173" s="916">
        <v>0</v>
      </c>
      <c r="H173" s="916">
        <v>0</v>
      </c>
      <c r="I173" s="916">
        <v>0</v>
      </c>
      <c r="J173" s="916">
        <v>0</v>
      </c>
      <c r="K173" s="916">
        <v>0</v>
      </c>
      <c r="L173" s="916">
        <v>0</v>
      </c>
      <c r="M173" s="916">
        <v>0</v>
      </c>
      <c r="N173" s="916">
        <v>0</v>
      </c>
      <c r="O173" s="916">
        <v>0</v>
      </c>
      <c r="P173" s="916">
        <v>0</v>
      </c>
      <c r="Q173" s="916">
        <f t="shared" si="20"/>
        <v>0</v>
      </c>
    </row>
    <row r="174" spans="2:17" hidden="1" x14ac:dyDescent="0.2">
      <c r="B174" t="s">
        <v>218</v>
      </c>
      <c r="C174" s="916">
        <v>0</v>
      </c>
      <c r="D174" s="916">
        <v>0</v>
      </c>
      <c r="E174" s="916">
        <v>0</v>
      </c>
      <c r="F174" s="916">
        <v>0</v>
      </c>
      <c r="G174" s="916">
        <v>0</v>
      </c>
      <c r="H174" s="916">
        <v>0</v>
      </c>
      <c r="I174" s="916">
        <v>0</v>
      </c>
      <c r="J174" s="916">
        <v>0</v>
      </c>
      <c r="K174" s="916">
        <v>0</v>
      </c>
      <c r="L174" s="916">
        <v>0</v>
      </c>
      <c r="M174" s="916">
        <v>0</v>
      </c>
      <c r="N174" s="916">
        <v>0</v>
      </c>
      <c r="O174" s="916">
        <v>0</v>
      </c>
      <c r="P174" s="916">
        <v>0</v>
      </c>
      <c r="Q174" s="916">
        <f t="shared" si="20"/>
        <v>0</v>
      </c>
    </row>
    <row r="175" spans="2:17" hidden="1" x14ac:dyDescent="0.2">
      <c r="B175" t="s">
        <v>219</v>
      </c>
      <c r="C175" s="916">
        <v>0</v>
      </c>
      <c r="D175" s="916">
        <v>0</v>
      </c>
      <c r="E175" s="916">
        <v>0</v>
      </c>
      <c r="F175" s="916">
        <v>0</v>
      </c>
      <c r="G175" s="916">
        <v>0</v>
      </c>
      <c r="H175" s="916">
        <v>0</v>
      </c>
      <c r="I175" s="916">
        <v>0</v>
      </c>
      <c r="J175" s="916">
        <v>0</v>
      </c>
      <c r="K175" s="916">
        <v>0</v>
      </c>
      <c r="L175" s="916">
        <v>0</v>
      </c>
      <c r="M175" s="916">
        <v>0</v>
      </c>
      <c r="N175" s="916">
        <v>0</v>
      </c>
      <c r="O175" s="916">
        <v>0</v>
      </c>
      <c r="P175" s="916">
        <v>0</v>
      </c>
      <c r="Q175" s="916">
        <f t="shared" si="20"/>
        <v>0</v>
      </c>
    </row>
    <row r="176" spans="2:17" hidden="1" x14ac:dyDescent="0.2">
      <c r="B176" t="s">
        <v>220</v>
      </c>
      <c r="C176" s="916">
        <v>0</v>
      </c>
      <c r="D176" s="916">
        <v>0</v>
      </c>
      <c r="E176" s="916">
        <v>0</v>
      </c>
      <c r="F176" s="916">
        <v>0</v>
      </c>
      <c r="G176" s="916">
        <v>0</v>
      </c>
      <c r="H176" s="916">
        <v>0</v>
      </c>
      <c r="I176" s="916">
        <v>0</v>
      </c>
      <c r="J176" s="916">
        <v>0</v>
      </c>
      <c r="K176" s="916">
        <v>0</v>
      </c>
      <c r="L176" s="916">
        <v>0</v>
      </c>
      <c r="M176" s="916">
        <v>0</v>
      </c>
      <c r="N176" s="916">
        <v>0</v>
      </c>
      <c r="O176" s="916">
        <v>0</v>
      </c>
      <c r="P176" s="916">
        <v>0</v>
      </c>
      <c r="Q176" s="916">
        <f t="shared" si="20"/>
        <v>0</v>
      </c>
    </row>
    <row r="177" spans="1:17" hidden="1" x14ac:dyDescent="0.2">
      <c r="B177" t="s">
        <v>221</v>
      </c>
      <c r="C177" s="916">
        <v>0</v>
      </c>
      <c r="D177" s="916">
        <v>0</v>
      </c>
      <c r="E177" s="916">
        <v>0</v>
      </c>
      <c r="F177" s="916">
        <v>0</v>
      </c>
      <c r="G177" s="916">
        <v>0</v>
      </c>
      <c r="H177" s="916">
        <v>0</v>
      </c>
      <c r="I177" s="916">
        <v>0</v>
      </c>
      <c r="J177" s="916">
        <v>0</v>
      </c>
      <c r="K177" s="916">
        <v>0</v>
      </c>
      <c r="L177" s="916">
        <v>0</v>
      </c>
      <c r="M177" s="916">
        <v>0</v>
      </c>
      <c r="N177" s="916">
        <v>0</v>
      </c>
      <c r="O177" s="916">
        <v>0</v>
      </c>
      <c r="P177" s="916">
        <v>0</v>
      </c>
      <c r="Q177" s="916">
        <f t="shared" si="20"/>
        <v>0</v>
      </c>
    </row>
    <row r="178" spans="1:17" hidden="1" x14ac:dyDescent="0.2">
      <c r="A178" s="2" t="s">
        <v>10</v>
      </c>
      <c r="B178" t="s">
        <v>142</v>
      </c>
      <c r="C178" s="916">
        <v>0</v>
      </c>
      <c r="D178" s="916">
        <v>0</v>
      </c>
      <c r="E178" s="916">
        <v>0</v>
      </c>
      <c r="F178" s="916">
        <v>0</v>
      </c>
      <c r="G178" s="916">
        <v>0</v>
      </c>
      <c r="H178" s="916">
        <v>0</v>
      </c>
      <c r="I178" s="916">
        <v>0</v>
      </c>
      <c r="J178" s="916">
        <v>0</v>
      </c>
      <c r="K178" s="916">
        <v>0</v>
      </c>
      <c r="L178" s="916">
        <v>0</v>
      </c>
      <c r="M178" s="916">
        <v>0</v>
      </c>
      <c r="N178" s="916">
        <v>0</v>
      </c>
      <c r="O178" s="916">
        <v>0</v>
      </c>
      <c r="P178" s="916">
        <v>0</v>
      </c>
      <c r="Q178" s="916">
        <f t="shared" si="20"/>
        <v>0</v>
      </c>
    </row>
    <row r="179" spans="1:17" hidden="1" x14ac:dyDescent="0.2">
      <c r="A179" s="2" t="s">
        <v>10</v>
      </c>
      <c r="B179" t="s">
        <v>141</v>
      </c>
      <c r="C179" s="916">
        <v>0</v>
      </c>
      <c r="D179" s="916">
        <v>0</v>
      </c>
      <c r="E179" s="916">
        <v>0</v>
      </c>
      <c r="F179" s="916">
        <v>0</v>
      </c>
      <c r="G179" s="916">
        <v>0</v>
      </c>
      <c r="H179" s="916">
        <v>0</v>
      </c>
      <c r="I179" s="916">
        <v>0</v>
      </c>
      <c r="J179" s="916">
        <v>0</v>
      </c>
      <c r="K179" s="916">
        <v>0</v>
      </c>
      <c r="L179" s="916">
        <v>0</v>
      </c>
      <c r="M179" s="916">
        <v>0</v>
      </c>
      <c r="N179" s="916">
        <v>0</v>
      </c>
      <c r="O179" s="916">
        <v>0</v>
      </c>
      <c r="P179" s="916">
        <v>0</v>
      </c>
      <c r="Q179" s="916">
        <f t="shared" si="20"/>
        <v>0</v>
      </c>
    </row>
    <row r="180" spans="1:17" hidden="1" x14ac:dyDescent="0.2">
      <c r="A180" s="2" t="s">
        <v>33</v>
      </c>
      <c r="B180" t="s">
        <v>222</v>
      </c>
      <c r="C180" s="916">
        <v>0</v>
      </c>
      <c r="D180" s="916">
        <v>0</v>
      </c>
      <c r="E180" s="916">
        <v>0</v>
      </c>
      <c r="F180" s="916">
        <v>0</v>
      </c>
      <c r="G180" s="916">
        <v>0</v>
      </c>
      <c r="H180" s="916">
        <v>0</v>
      </c>
      <c r="I180" s="916">
        <v>0</v>
      </c>
      <c r="J180" s="916">
        <v>0</v>
      </c>
      <c r="K180" s="916">
        <v>0</v>
      </c>
      <c r="L180" s="916">
        <v>0</v>
      </c>
      <c r="M180" s="916">
        <v>0</v>
      </c>
      <c r="N180" s="916">
        <v>0</v>
      </c>
      <c r="O180" s="916">
        <v>0</v>
      </c>
      <c r="P180" s="916">
        <v>0</v>
      </c>
      <c r="Q180" s="916">
        <f t="shared" si="20"/>
        <v>0</v>
      </c>
    </row>
    <row r="181" spans="1:17" hidden="1" x14ac:dyDescent="0.2">
      <c r="A181" s="2" t="s">
        <v>10</v>
      </c>
      <c r="B181" t="s">
        <v>138</v>
      </c>
      <c r="C181" s="916">
        <v>0</v>
      </c>
      <c r="D181" s="916">
        <v>0</v>
      </c>
      <c r="E181" s="916">
        <v>0</v>
      </c>
      <c r="F181" s="916">
        <v>0</v>
      </c>
      <c r="G181" s="916">
        <v>0</v>
      </c>
      <c r="H181" s="916">
        <v>0</v>
      </c>
      <c r="I181" s="916">
        <v>0</v>
      </c>
      <c r="J181" s="916">
        <v>0</v>
      </c>
      <c r="K181" s="916">
        <v>0</v>
      </c>
      <c r="L181" s="916">
        <v>0</v>
      </c>
      <c r="M181" s="916">
        <v>0</v>
      </c>
      <c r="N181" s="916">
        <v>0</v>
      </c>
      <c r="O181" s="916">
        <v>0</v>
      </c>
      <c r="P181" s="916">
        <v>0</v>
      </c>
      <c r="Q181" s="916">
        <f t="shared" si="20"/>
        <v>0</v>
      </c>
    </row>
    <row r="182" spans="1:17" hidden="1" x14ac:dyDescent="0.2">
      <c r="A182" s="2" t="s">
        <v>10</v>
      </c>
      <c r="B182" t="s">
        <v>136</v>
      </c>
      <c r="C182" s="916">
        <v>0</v>
      </c>
      <c r="D182" s="916">
        <v>0</v>
      </c>
      <c r="E182" s="916">
        <v>0</v>
      </c>
      <c r="F182" s="916">
        <v>0</v>
      </c>
      <c r="G182" s="916">
        <v>0</v>
      </c>
      <c r="H182" s="916">
        <v>0</v>
      </c>
      <c r="I182" s="916">
        <v>0</v>
      </c>
      <c r="J182" s="916">
        <v>0</v>
      </c>
      <c r="K182" s="916">
        <v>0</v>
      </c>
      <c r="L182" s="916">
        <v>0</v>
      </c>
      <c r="M182" s="916">
        <v>0</v>
      </c>
      <c r="N182" s="916">
        <v>0</v>
      </c>
      <c r="O182" s="916">
        <v>0</v>
      </c>
      <c r="P182" s="916">
        <v>0</v>
      </c>
      <c r="Q182" s="916">
        <f t="shared" si="20"/>
        <v>0</v>
      </c>
    </row>
    <row r="183" spans="1:17" hidden="1" x14ac:dyDescent="0.2">
      <c r="B183" t="s">
        <v>223</v>
      </c>
      <c r="C183" s="916">
        <v>0</v>
      </c>
      <c r="D183" s="916">
        <v>0</v>
      </c>
      <c r="E183" s="916">
        <v>0</v>
      </c>
      <c r="F183" s="916">
        <v>0</v>
      </c>
      <c r="G183" s="916">
        <v>0</v>
      </c>
      <c r="H183" s="916">
        <v>0</v>
      </c>
      <c r="I183" s="916">
        <v>0</v>
      </c>
      <c r="J183" s="916">
        <v>0</v>
      </c>
      <c r="K183" s="916">
        <v>0</v>
      </c>
      <c r="L183" s="916">
        <v>0</v>
      </c>
      <c r="M183" s="916">
        <v>0</v>
      </c>
      <c r="N183" s="916">
        <v>0</v>
      </c>
      <c r="O183" s="916">
        <v>0</v>
      </c>
      <c r="P183" s="916">
        <v>0</v>
      </c>
      <c r="Q183" s="916">
        <f t="shared" si="20"/>
        <v>0</v>
      </c>
    </row>
    <row r="184" spans="1:17" hidden="1" x14ac:dyDescent="0.2">
      <c r="B184" t="s">
        <v>224</v>
      </c>
      <c r="C184" s="916">
        <v>0</v>
      </c>
      <c r="D184" s="916">
        <v>0</v>
      </c>
      <c r="E184" s="916">
        <v>0</v>
      </c>
      <c r="F184" s="916">
        <v>0</v>
      </c>
      <c r="G184" s="916">
        <v>0</v>
      </c>
      <c r="H184" s="916">
        <v>0</v>
      </c>
      <c r="I184" s="916">
        <v>0</v>
      </c>
      <c r="J184" s="916">
        <v>0</v>
      </c>
      <c r="K184" s="916">
        <v>0</v>
      </c>
      <c r="L184" s="916">
        <v>0</v>
      </c>
      <c r="M184" s="916">
        <v>0</v>
      </c>
      <c r="N184" s="916">
        <v>0</v>
      </c>
      <c r="O184" s="916">
        <v>0</v>
      </c>
      <c r="P184" s="916">
        <v>0</v>
      </c>
      <c r="Q184" s="916">
        <f t="shared" si="20"/>
        <v>0</v>
      </c>
    </row>
    <row r="185" spans="1:17" hidden="1" x14ac:dyDescent="0.2">
      <c r="B185" t="s">
        <v>225</v>
      </c>
      <c r="C185" s="916">
        <v>0</v>
      </c>
      <c r="D185" s="916">
        <v>0</v>
      </c>
      <c r="E185" s="916">
        <v>0</v>
      </c>
      <c r="F185" s="916">
        <v>0</v>
      </c>
      <c r="G185" s="916">
        <v>0</v>
      </c>
      <c r="H185" s="916">
        <v>0</v>
      </c>
      <c r="I185" s="916">
        <v>0</v>
      </c>
      <c r="J185" s="916">
        <v>0</v>
      </c>
      <c r="K185" s="916">
        <v>0</v>
      </c>
      <c r="L185" s="916">
        <v>0</v>
      </c>
      <c r="M185" s="916">
        <v>0</v>
      </c>
      <c r="N185" s="916">
        <v>0</v>
      </c>
      <c r="O185" s="916">
        <v>0</v>
      </c>
      <c r="P185" s="916">
        <v>0</v>
      </c>
      <c r="Q185" s="916">
        <f t="shared" si="20"/>
        <v>0</v>
      </c>
    </row>
    <row r="186" spans="1:17" hidden="1" x14ac:dyDescent="0.2">
      <c r="B186" t="s">
        <v>226</v>
      </c>
      <c r="C186" s="916">
        <v>0</v>
      </c>
      <c r="D186" s="916">
        <v>0</v>
      </c>
      <c r="E186" s="916">
        <v>0</v>
      </c>
      <c r="F186" s="916">
        <v>0</v>
      </c>
      <c r="G186" s="916">
        <v>0</v>
      </c>
      <c r="H186" s="916">
        <v>0</v>
      </c>
      <c r="I186" s="916">
        <v>0</v>
      </c>
      <c r="J186" s="916">
        <v>0</v>
      </c>
      <c r="K186" s="916">
        <v>0</v>
      </c>
      <c r="L186" s="916">
        <v>0</v>
      </c>
      <c r="M186" s="916">
        <v>0</v>
      </c>
      <c r="N186" s="916">
        <v>0</v>
      </c>
      <c r="O186" s="916">
        <v>0</v>
      </c>
      <c r="P186" s="916">
        <v>0</v>
      </c>
      <c r="Q186" s="916">
        <f t="shared" si="20"/>
        <v>0</v>
      </c>
    </row>
    <row r="187" spans="1:17" hidden="1" x14ac:dyDescent="0.2">
      <c r="B187" t="s">
        <v>227</v>
      </c>
      <c r="C187" s="916">
        <v>0</v>
      </c>
      <c r="D187" s="916">
        <v>0</v>
      </c>
      <c r="E187" s="916">
        <v>0</v>
      </c>
      <c r="F187" s="916">
        <v>0</v>
      </c>
      <c r="G187" s="916">
        <v>0</v>
      </c>
      <c r="H187" s="916">
        <v>0</v>
      </c>
      <c r="I187" s="916">
        <v>0</v>
      </c>
      <c r="J187" s="916">
        <v>0</v>
      </c>
      <c r="K187" s="916">
        <v>0</v>
      </c>
      <c r="L187" s="916">
        <v>0</v>
      </c>
      <c r="M187" s="916">
        <v>0</v>
      </c>
      <c r="N187" s="916">
        <v>0</v>
      </c>
      <c r="O187" s="916">
        <v>0</v>
      </c>
      <c r="P187" s="916">
        <v>0</v>
      </c>
      <c r="Q187" s="916">
        <f t="shared" si="20"/>
        <v>0</v>
      </c>
    </row>
    <row r="188" spans="1:17" hidden="1" x14ac:dyDescent="0.2">
      <c r="B188" t="s">
        <v>228</v>
      </c>
      <c r="C188" s="916">
        <v>0</v>
      </c>
      <c r="D188" s="916">
        <v>0</v>
      </c>
      <c r="E188" s="916">
        <v>0</v>
      </c>
      <c r="F188" s="916">
        <v>0</v>
      </c>
      <c r="G188" s="916">
        <v>0</v>
      </c>
      <c r="H188" s="916">
        <v>0</v>
      </c>
      <c r="I188" s="916">
        <v>0</v>
      </c>
      <c r="J188" s="916">
        <v>0</v>
      </c>
      <c r="K188" s="916">
        <v>0</v>
      </c>
      <c r="L188" s="916">
        <v>0</v>
      </c>
      <c r="M188" s="916">
        <v>0</v>
      </c>
      <c r="N188" s="916">
        <v>0</v>
      </c>
      <c r="O188" s="916">
        <v>0</v>
      </c>
      <c r="P188" s="916">
        <v>0</v>
      </c>
      <c r="Q188" s="916">
        <f t="shared" si="20"/>
        <v>0</v>
      </c>
    </row>
    <row r="189" spans="1:17" hidden="1" x14ac:dyDescent="0.2">
      <c r="B189" t="s">
        <v>229</v>
      </c>
      <c r="C189" s="916">
        <v>0</v>
      </c>
      <c r="D189" s="916">
        <v>0</v>
      </c>
      <c r="E189" s="916">
        <v>0</v>
      </c>
      <c r="F189" s="916">
        <v>0</v>
      </c>
      <c r="G189" s="916">
        <v>0</v>
      </c>
      <c r="H189" s="916">
        <v>0</v>
      </c>
      <c r="I189" s="916">
        <v>0</v>
      </c>
      <c r="J189" s="916">
        <v>0</v>
      </c>
      <c r="K189" s="916">
        <v>0</v>
      </c>
      <c r="L189" s="916">
        <v>0</v>
      </c>
      <c r="M189" s="916">
        <v>0</v>
      </c>
      <c r="N189" s="916">
        <v>0</v>
      </c>
      <c r="O189" s="916">
        <v>0</v>
      </c>
      <c r="P189" s="916">
        <v>0</v>
      </c>
      <c r="Q189" s="916">
        <f t="shared" si="20"/>
        <v>0</v>
      </c>
    </row>
    <row r="190" spans="1:17" hidden="1" x14ac:dyDescent="0.2">
      <c r="B190" t="s">
        <v>230</v>
      </c>
      <c r="C190" s="916">
        <v>0</v>
      </c>
      <c r="D190" s="916">
        <v>0</v>
      </c>
      <c r="E190" s="916">
        <v>0</v>
      </c>
      <c r="F190" s="916">
        <v>0</v>
      </c>
      <c r="G190" s="916">
        <v>0</v>
      </c>
      <c r="H190" s="916">
        <v>0</v>
      </c>
      <c r="I190" s="916">
        <v>0</v>
      </c>
      <c r="J190" s="916">
        <v>0</v>
      </c>
      <c r="K190" s="916">
        <v>0</v>
      </c>
      <c r="L190" s="916">
        <v>0</v>
      </c>
      <c r="M190" s="916">
        <v>0</v>
      </c>
      <c r="N190" s="916">
        <v>0</v>
      </c>
      <c r="O190" s="916">
        <v>0</v>
      </c>
      <c r="P190" s="916">
        <v>0</v>
      </c>
      <c r="Q190" s="916">
        <f t="shared" si="20"/>
        <v>0</v>
      </c>
    </row>
    <row r="191" spans="1:17" hidden="1" x14ac:dyDescent="0.2">
      <c r="B191" t="s">
        <v>231</v>
      </c>
      <c r="C191" s="916">
        <v>0</v>
      </c>
      <c r="D191" s="916">
        <v>0</v>
      </c>
      <c r="E191" s="916">
        <v>0</v>
      </c>
      <c r="F191" s="916">
        <v>0</v>
      </c>
      <c r="G191" s="916">
        <v>0</v>
      </c>
      <c r="H191" s="916">
        <v>0</v>
      </c>
      <c r="I191" s="916">
        <v>0</v>
      </c>
      <c r="J191" s="916">
        <v>0</v>
      </c>
      <c r="K191" s="916">
        <v>0</v>
      </c>
      <c r="L191" s="916">
        <v>0</v>
      </c>
      <c r="M191" s="916">
        <v>0</v>
      </c>
      <c r="N191" s="916">
        <v>0</v>
      </c>
      <c r="O191" s="916">
        <v>0</v>
      </c>
      <c r="P191" s="916">
        <v>0</v>
      </c>
      <c r="Q191" s="916">
        <f t="shared" si="20"/>
        <v>0</v>
      </c>
    </row>
    <row r="192" spans="1:17" hidden="1" x14ac:dyDescent="0.2">
      <c r="B192" t="s">
        <v>232</v>
      </c>
      <c r="C192" s="916">
        <v>0</v>
      </c>
      <c r="D192" s="916">
        <v>0</v>
      </c>
      <c r="E192" s="916">
        <v>0</v>
      </c>
      <c r="F192" s="916">
        <v>0</v>
      </c>
      <c r="G192" s="916">
        <v>0</v>
      </c>
      <c r="H192" s="916">
        <v>0</v>
      </c>
      <c r="I192" s="916">
        <v>0</v>
      </c>
      <c r="J192" s="916">
        <v>0</v>
      </c>
      <c r="K192" s="916">
        <v>0</v>
      </c>
      <c r="L192" s="916">
        <v>0</v>
      </c>
      <c r="M192" s="916">
        <v>0</v>
      </c>
      <c r="N192" s="916">
        <v>0</v>
      </c>
      <c r="O192" s="916">
        <v>0</v>
      </c>
      <c r="P192" s="916">
        <v>0</v>
      </c>
      <c r="Q192" s="916">
        <f t="shared" si="20"/>
        <v>0</v>
      </c>
    </row>
    <row r="193" spans="2:17" hidden="1" x14ac:dyDescent="0.2">
      <c r="B193" t="s">
        <v>233</v>
      </c>
      <c r="C193" s="916">
        <v>0</v>
      </c>
      <c r="D193" s="916">
        <v>0</v>
      </c>
      <c r="E193" s="916">
        <v>0</v>
      </c>
      <c r="F193" s="916">
        <v>0</v>
      </c>
      <c r="G193" s="916">
        <v>0</v>
      </c>
      <c r="H193" s="916">
        <v>0</v>
      </c>
      <c r="I193" s="916">
        <v>0</v>
      </c>
      <c r="J193" s="916">
        <v>0</v>
      </c>
      <c r="K193" s="916">
        <v>0</v>
      </c>
      <c r="L193" s="916">
        <v>0</v>
      </c>
      <c r="M193" s="916">
        <v>0</v>
      </c>
      <c r="N193" s="916">
        <v>0</v>
      </c>
      <c r="O193" s="916">
        <v>0</v>
      </c>
      <c r="P193" s="916">
        <v>0</v>
      </c>
      <c r="Q193" s="916">
        <f t="shared" si="20"/>
        <v>0</v>
      </c>
    </row>
    <row r="194" spans="2:17" hidden="1" x14ac:dyDescent="0.2">
      <c r="B194" t="s">
        <v>234</v>
      </c>
      <c r="C194" s="916">
        <v>0</v>
      </c>
      <c r="D194" s="916">
        <v>0</v>
      </c>
      <c r="E194" s="916">
        <v>0</v>
      </c>
      <c r="F194" s="916">
        <v>0</v>
      </c>
      <c r="G194" s="916">
        <v>0</v>
      </c>
      <c r="H194" s="916">
        <v>0</v>
      </c>
      <c r="I194" s="916">
        <v>0</v>
      </c>
      <c r="J194" s="916">
        <v>0</v>
      </c>
      <c r="K194" s="916">
        <v>0</v>
      </c>
      <c r="L194" s="916">
        <v>0</v>
      </c>
      <c r="M194" s="916">
        <v>0</v>
      </c>
      <c r="N194" s="916">
        <v>0</v>
      </c>
      <c r="O194" s="916">
        <v>0</v>
      </c>
      <c r="P194" s="916">
        <v>0</v>
      </c>
      <c r="Q194" s="916">
        <f t="shared" si="20"/>
        <v>0</v>
      </c>
    </row>
    <row r="195" spans="2:17" x14ac:dyDescent="0.2">
      <c r="B195" t="s">
        <v>9</v>
      </c>
      <c r="C195" s="916">
        <v>0</v>
      </c>
      <c r="D195" s="916">
        <v>0</v>
      </c>
      <c r="E195" s="916">
        <v>0</v>
      </c>
      <c r="F195" s="916">
        <v>0</v>
      </c>
      <c r="G195" s="916">
        <v>0</v>
      </c>
      <c r="H195" s="916">
        <v>0</v>
      </c>
      <c r="I195" s="916">
        <v>0</v>
      </c>
      <c r="J195" s="916">
        <v>0</v>
      </c>
      <c r="K195" s="916">
        <v>0</v>
      </c>
      <c r="L195" s="916">
        <v>0</v>
      </c>
      <c r="M195" s="916">
        <v>0</v>
      </c>
      <c r="N195" s="916">
        <v>0</v>
      </c>
      <c r="O195" s="916">
        <v>0</v>
      </c>
      <c r="P195" s="916">
        <v>-216167</v>
      </c>
      <c r="Q195" s="916">
        <f t="shared" si="20"/>
        <v>-216167</v>
      </c>
    </row>
    <row r="196" spans="2:17" hidden="1" x14ac:dyDescent="0.2">
      <c r="B196" s="3" t="s">
        <v>581</v>
      </c>
      <c r="C196" s="916">
        <v>0</v>
      </c>
      <c r="D196" s="916">
        <v>0</v>
      </c>
      <c r="E196" s="916">
        <v>0</v>
      </c>
      <c r="F196" s="916">
        <v>0</v>
      </c>
      <c r="G196" s="916">
        <v>0</v>
      </c>
      <c r="H196" s="916">
        <v>0</v>
      </c>
      <c r="I196" s="916">
        <v>0</v>
      </c>
      <c r="J196" s="916">
        <v>0</v>
      </c>
      <c r="K196" s="916">
        <v>0</v>
      </c>
      <c r="L196" s="916">
        <v>0</v>
      </c>
      <c r="M196" s="916">
        <v>0</v>
      </c>
      <c r="N196" s="916">
        <v>0</v>
      </c>
      <c r="O196" s="916">
        <v>0</v>
      </c>
      <c r="P196" s="916">
        <v>0</v>
      </c>
      <c r="Q196" s="916">
        <f t="shared" si="20"/>
        <v>0</v>
      </c>
    </row>
    <row r="197" spans="2:17" hidden="1" x14ac:dyDescent="0.2">
      <c r="B197" s="3" t="s">
        <v>235</v>
      </c>
      <c r="C197" s="916">
        <v>0</v>
      </c>
      <c r="D197" s="916">
        <v>0</v>
      </c>
      <c r="E197" s="916">
        <v>0</v>
      </c>
      <c r="F197" s="916">
        <v>0</v>
      </c>
      <c r="G197" s="916">
        <v>0</v>
      </c>
      <c r="H197" s="916">
        <v>0</v>
      </c>
      <c r="I197" s="916">
        <v>0</v>
      </c>
      <c r="J197" s="916">
        <v>0</v>
      </c>
      <c r="K197" s="916">
        <v>0</v>
      </c>
      <c r="L197" s="916">
        <v>0</v>
      </c>
      <c r="M197" s="916">
        <v>0</v>
      </c>
      <c r="N197" s="916">
        <v>0</v>
      </c>
      <c r="O197" s="916">
        <v>0</v>
      </c>
      <c r="P197" s="916">
        <v>0</v>
      </c>
      <c r="Q197" s="916">
        <f t="shared" si="20"/>
        <v>0</v>
      </c>
    </row>
    <row r="198" spans="2:17" hidden="1" x14ac:dyDescent="0.2">
      <c r="B198" t="s">
        <v>236</v>
      </c>
      <c r="C198" s="916">
        <v>0</v>
      </c>
      <c r="D198" s="916">
        <v>0</v>
      </c>
      <c r="E198" s="916">
        <v>0</v>
      </c>
      <c r="F198" s="916">
        <v>0</v>
      </c>
      <c r="G198" s="916">
        <v>0</v>
      </c>
      <c r="H198" s="916">
        <v>0</v>
      </c>
      <c r="I198" s="916">
        <v>0</v>
      </c>
      <c r="J198" s="916">
        <v>0</v>
      </c>
      <c r="K198" s="916">
        <v>0</v>
      </c>
      <c r="L198" s="916">
        <v>0</v>
      </c>
      <c r="M198" s="916">
        <v>0</v>
      </c>
      <c r="N198" s="916">
        <v>0</v>
      </c>
      <c r="O198" s="916">
        <v>0</v>
      </c>
      <c r="P198" s="916">
        <v>0</v>
      </c>
      <c r="Q198" s="916">
        <f t="shared" ref="Q198:Q222" si="21">SUM(C198:P198)</f>
        <v>0</v>
      </c>
    </row>
    <row r="199" spans="2:17" hidden="1" x14ac:dyDescent="0.2">
      <c r="B199" t="s">
        <v>237</v>
      </c>
      <c r="C199" s="916">
        <v>0</v>
      </c>
      <c r="D199" s="916">
        <v>0</v>
      </c>
      <c r="E199" s="916">
        <v>0</v>
      </c>
      <c r="F199" s="916">
        <v>0</v>
      </c>
      <c r="G199" s="916">
        <v>0</v>
      </c>
      <c r="H199" s="916">
        <v>0</v>
      </c>
      <c r="I199" s="916">
        <v>0</v>
      </c>
      <c r="J199" s="916">
        <v>0</v>
      </c>
      <c r="K199" s="916">
        <v>0</v>
      </c>
      <c r="L199" s="916">
        <v>0</v>
      </c>
      <c r="M199" s="916">
        <v>0</v>
      </c>
      <c r="N199" s="916">
        <v>0</v>
      </c>
      <c r="O199" s="916">
        <v>0</v>
      </c>
      <c r="P199" s="916">
        <v>0</v>
      </c>
      <c r="Q199" s="916">
        <f t="shared" si="21"/>
        <v>0</v>
      </c>
    </row>
    <row r="200" spans="2:17" hidden="1" x14ac:dyDescent="0.2">
      <c r="B200" t="s">
        <v>238</v>
      </c>
      <c r="C200" s="916">
        <v>0</v>
      </c>
      <c r="D200" s="916">
        <v>0</v>
      </c>
      <c r="E200" s="916">
        <v>0</v>
      </c>
      <c r="F200" s="916">
        <v>0</v>
      </c>
      <c r="G200" s="916">
        <v>0</v>
      </c>
      <c r="H200" s="916">
        <v>0</v>
      </c>
      <c r="I200" s="916">
        <v>0</v>
      </c>
      <c r="J200" s="916">
        <v>0</v>
      </c>
      <c r="K200" s="916">
        <v>0</v>
      </c>
      <c r="L200" s="916">
        <v>0</v>
      </c>
      <c r="M200" s="916">
        <v>0</v>
      </c>
      <c r="N200" s="916">
        <v>0</v>
      </c>
      <c r="O200" s="916">
        <v>0</v>
      </c>
      <c r="P200" s="916">
        <v>0</v>
      </c>
      <c r="Q200" s="916">
        <f t="shared" si="21"/>
        <v>0</v>
      </c>
    </row>
    <row r="201" spans="2:17" hidden="1" x14ac:dyDescent="0.2">
      <c r="B201" t="s">
        <v>239</v>
      </c>
      <c r="C201" s="916">
        <v>0</v>
      </c>
      <c r="D201" s="916">
        <v>0</v>
      </c>
      <c r="E201" s="916">
        <v>0</v>
      </c>
      <c r="F201" s="916">
        <v>0</v>
      </c>
      <c r="G201" s="916">
        <v>0</v>
      </c>
      <c r="H201" s="916">
        <v>0</v>
      </c>
      <c r="I201" s="916">
        <v>0</v>
      </c>
      <c r="J201" s="916">
        <v>0</v>
      </c>
      <c r="K201" s="916">
        <v>0</v>
      </c>
      <c r="L201" s="916">
        <v>0</v>
      </c>
      <c r="M201" s="916">
        <v>0</v>
      </c>
      <c r="N201" s="916">
        <v>0</v>
      </c>
      <c r="O201" s="916">
        <v>0</v>
      </c>
      <c r="P201" s="916">
        <v>0</v>
      </c>
      <c r="Q201" s="916">
        <f t="shared" si="21"/>
        <v>0</v>
      </c>
    </row>
    <row r="202" spans="2:17" hidden="1" x14ac:dyDescent="0.2">
      <c r="B202" t="s">
        <v>240</v>
      </c>
      <c r="C202" s="916">
        <v>0</v>
      </c>
      <c r="D202" s="916">
        <v>0</v>
      </c>
      <c r="E202" s="916">
        <v>0</v>
      </c>
      <c r="F202" s="916">
        <v>0</v>
      </c>
      <c r="G202" s="916">
        <v>0</v>
      </c>
      <c r="H202" s="916">
        <v>0</v>
      </c>
      <c r="I202" s="916">
        <v>0</v>
      </c>
      <c r="J202" s="916">
        <v>0</v>
      </c>
      <c r="K202" s="916">
        <v>0</v>
      </c>
      <c r="L202" s="916">
        <v>0</v>
      </c>
      <c r="M202" s="916">
        <v>0</v>
      </c>
      <c r="N202" s="916">
        <v>0</v>
      </c>
      <c r="O202" s="916">
        <v>0</v>
      </c>
      <c r="P202" s="916">
        <v>0</v>
      </c>
      <c r="Q202" s="916">
        <f t="shared" si="21"/>
        <v>0</v>
      </c>
    </row>
    <row r="203" spans="2:17" hidden="1" x14ac:dyDescent="0.2">
      <c r="B203" t="s">
        <v>241</v>
      </c>
      <c r="C203" s="916">
        <v>0</v>
      </c>
      <c r="D203" s="916">
        <v>0</v>
      </c>
      <c r="E203" s="916">
        <v>0</v>
      </c>
      <c r="F203" s="916">
        <v>0</v>
      </c>
      <c r="G203" s="916">
        <v>0</v>
      </c>
      <c r="H203" s="916">
        <v>0</v>
      </c>
      <c r="I203" s="916">
        <v>0</v>
      </c>
      <c r="J203" s="916">
        <v>0</v>
      </c>
      <c r="K203" s="916">
        <v>0</v>
      </c>
      <c r="L203" s="916">
        <v>0</v>
      </c>
      <c r="M203" s="916">
        <v>0</v>
      </c>
      <c r="N203" s="916">
        <v>0</v>
      </c>
      <c r="O203" s="916">
        <v>0</v>
      </c>
      <c r="P203" s="916">
        <v>0</v>
      </c>
      <c r="Q203" s="916">
        <f t="shared" si="21"/>
        <v>0</v>
      </c>
    </row>
    <row r="204" spans="2:17" hidden="1" x14ac:dyDescent="0.2">
      <c r="B204" t="s">
        <v>242</v>
      </c>
      <c r="C204" s="916">
        <v>0</v>
      </c>
      <c r="D204" s="916">
        <v>0</v>
      </c>
      <c r="E204" s="916">
        <v>0</v>
      </c>
      <c r="F204" s="916">
        <v>0</v>
      </c>
      <c r="G204" s="916">
        <v>0</v>
      </c>
      <c r="H204" s="916">
        <v>0</v>
      </c>
      <c r="I204" s="916">
        <v>0</v>
      </c>
      <c r="J204" s="916">
        <v>0</v>
      </c>
      <c r="K204" s="916">
        <v>0</v>
      </c>
      <c r="L204" s="916">
        <v>0</v>
      </c>
      <c r="M204" s="916">
        <v>0</v>
      </c>
      <c r="N204" s="916">
        <v>0</v>
      </c>
      <c r="O204" s="916">
        <v>0</v>
      </c>
      <c r="P204" s="916">
        <v>0</v>
      </c>
      <c r="Q204" s="916">
        <f t="shared" si="21"/>
        <v>0</v>
      </c>
    </row>
    <row r="205" spans="2:17" x14ac:dyDescent="0.2">
      <c r="B205" t="s">
        <v>243</v>
      </c>
      <c r="C205" s="916">
        <v>0</v>
      </c>
      <c r="D205" s="916">
        <v>0</v>
      </c>
      <c r="E205" s="916">
        <v>0</v>
      </c>
      <c r="F205" s="916">
        <v>0</v>
      </c>
      <c r="G205" s="916">
        <v>0</v>
      </c>
      <c r="H205" s="916">
        <v>0</v>
      </c>
      <c r="I205" s="916">
        <v>0</v>
      </c>
      <c r="J205" s="916">
        <v>0</v>
      </c>
      <c r="K205" s="916">
        <v>0</v>
      </c>
      <c r="L205" s="916">
        <v>0</v>
      </c>
      <c r="M205" s="916">
        <v>0</v>
      </c>
      <c r="N205" s="916">
        <v>0</v>
      </c>
      <c r="O205" s="916">
        <v>0</v>
      </c>
      <c r="P205" s="916">
        <v>-12000</v>
      </c>
      <c r="Q205" s="916">
        <f t="shared" si="21"/>
        <v>-12000</v>
      </c>
    </row>
    <row r="206" spans="2:17" hidden="1" x14ac:dyDescent="0.2">
      <c r="B206" t="s">
        <v>244</v>
      </c>
      <c r="C206" s="916">
        <v>0</v>
      </c>
      <c r="D206" s="916">
        <v>0</v>
      </c>
      <c r="E206" s="916">
        <v>0</v>
      </c>
      <c r="F206" s="916">
        <v>0</v>
      </c>
      <c r="G206" s="916">
        <v>0</v>
      </c>
      <c r="H206" s="916">
        <v>0</v>
      </c>
      <c r="I206" s="916">
        <v>0</v>
      </c>
      <c r="J206" s="916">
        <v>0</v>
      </c>
      <c r="K206" s="916">
        <v>0</v>
      </c>
      <c r="L206" s="916">
        <v>0</v>
      </c>
      <c r="M206" s="916">
        <v>0</v>
      </c>
      <c r="N206" s="916">
        <v>0</v>
      </c>
      <c r="O206" s="916">
        <v>0</v>
      </c>
      <c r="P206" s="916">
        <v>0</v>
      </c>
      <c r="Q206" s="916">
        <f t="shared" si="21"/>
        <v>0</v>
      </c>
    </row>
    <row r="207" spans="2:17" x14ac:dyDescent="0.2">
      <c r="B207" s="2" t="s">
        <v>245</v>
      </c>
      <c r="C207" s="916"/>
      <c r="D207" s="916"/>
      <c r="E207" s="916"/>
      <c r="F207" s="916"/>
      <c r="G207" s="916"/>
      <c r="H207" s="916"/>
      <c r="I207" s="916"/>
      <c r="J207" s="916"/>
      <c r="K207" s="916"/>
      <c r="L207" s="916"/>
      <c r="M207" s="916"/>
      <c r="N207" s="916"/>
      <c r="O207" s="916"/>
      <c r="P207" s="916">
        <v>0</v>
      </c>
      <c r="Q207" s="916">
        <f t="shared" si="21"/>
        <v>0</v>
      </c>
    </row>
    <row r="208" spans="2:17" hidden="1" x14ac:dyDescent="0.2">
      <c r="B208" t="s">
        <v>246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f t="shared" si="21"/>
        <v>0</v>
      </c>
    </row>
    <row r="209" spans="2:17" hidden="1" x14ac:dyDescent="0.2">
      <c r="B209" t="s">
        <v>247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f t="shared" si="21"/>
        <v>0</v>
      </c>
    </row>
    <row r="210" spans="2:17" hidden="1" x14ac:dyDescent="0.2">
      <c r="B210" t="s">
        <v>248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f t="shared" si="21"/>
        <v>0</v>
      </c>
    </row>
    <row r="211" spans="2:17" hidden="1" x14ac:dyDescent="0.2">
      <c r="B211" t="s">
        <v>249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f t="shared" si="21"/>
        <v>0</v>
      </c>
    </row>
    <row r="212" spans="2:17" hidden="1" x14ac:dyDescent="0.2">
      <c r="B212" t="s">
        <v>250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f t="shared" si="21"/>
        <v>0</v>
      </c>
    </row>
    <row r="213" spans="2:17" hidden="1" x14ac:dyDescent="0.2">
      <c r="B213" t="s">
        <v>251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f t="shared" si="21"/>
        <v>0</v>
      </c>
    </row>
    <row r="214" spans="2:17" hidden="1" x14ac:dyDescent="0.2">
      <c r="B214" t="s">
        <v>252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f t="shared" si="21"/>
        <v>0</v>
      </c>
    </row>
    <row r="215" spans="2:17" hidden="1" x14ac:dyDescent="0.2">
      <c r="B215" t="s">
        <v>253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f t="shared" si="21"/>
        <v>0</v>
      </c>
    </row>
    <row r="216" spans="2:17" hidden="1" x14ac:dyDescent="0.2">
      <c r="B216" t="s">
        <v>254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f t="shared" si="21"/>
        <v>0</v>
      </c>
    </row>
    <row r="217" spans="2:17" hidden="1" x14ac:dyDescent="0.2">
      <c r="B217" t="s">
        <v>255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f t="shared" si="21"/>
        <v>0</v>
      </c>
    </row>
    <row r="218" spans="2:17" hidden="1" x14ac:dyDescent="0.2">
      <c r="B218" t="s">
        <v>256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f t="shared" si="21"/>
        <v>0</v>
      </c>
    </row>
    <row r="219" spans="2:17" hidden="1" x14ac:dyDescent="0.2">
      <c r="B219" t="s">
        <v>257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f t="shared" si="21"/>
        <v>0</v>
      </c>
    </row>
    <row r="220" spans="2:17" hidden="1" x14ac:dyDescent="0.2">
      <c r="B220" t="s">
        <v>258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f t="shared" si="21"/>
        <v>0</v>
      </c>
    </row>
    <row r="221" spans="2:17" hidden="1" x14ac:dyDescent="0.2">
      <c r="B221" t="s">
        <v>259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f t="shared" si="21"/>
        <v>0</v>
      </c>
    </row>
    <row r="222" spans="2:17" hidden="1" x14ac:dyDescent="0.2">
      <c r="B222" t="s">
        <v>260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f t="shared" si="21"/>
        <v>0</v>
      </c>
    </row>
    <row r="223" spans="2:17" x14ac:dyDescent="0.2">
      <c r="Q223" s="12"/>
    </row>
  </sheetData>
  <pageMargins left="0.7" right="0.7" top="0.75" bottom="0.75" header="0.3" footer="0.3"/>
  <pageSetup scale="50" orientation="portrait" r:id="rId1"/>
  <colBreaks count="1" manualBreakCount="1">
    <brk id="10" max="104857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B060-E1A0-4F6D-BEFF-D121C8266136}">
  <sheetPr>
    <tabColor rgb="FFFF0000"/>
  </sheetPr>
  <dimension ref="A1:I92"/>
  <sheetViews>
    <sheetView showGridLines="0" zoomScale="80" zoomScaleNormal="8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62" customWidth="1"/>
    <col min="2" max="2" width="12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44.28515625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684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685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>
        <v>0</v>
      </c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0</v>
      </c>
      <c r="I8" s="92"/>
    </row>
    <row r="9" spans="1:9" x14ac:dyDescent="0.2">
      <c r="A9" s="96"/>
      <c r="B9" s="94" t="s">
        <v>330</v>
      </c>
      <c r="C9" s="95" t="s">
        <v>686</v>
      </c>
      <c r="D9" s="88">
        <v>0</v>
      </c>
      <c r="E9" s="88">
        <v>0</v>
      </c>
      <c r="F9" s="88">
        <v>414170</v>
      </c>
      <c r="G9" s="90">
        <v>0</v>
      </c>
      <c r="H9" s="91">
        <v>0</v>
      </c>
      <c r="I9" s="92"/>
    </row>
    <row r="10" spans="1:9" x14ac:dyDescent="0.2">
      <c r="A10" s="96"/>
      <c r="B10" s="94" t="s">
        <v>331</v>
      </c>
      <c r="C10" s="95" t="s">
        <v>332</v>
      </c>
      <c r="D10" s="88">
        <v>0</v>
      </c>
      <c r="E10" s="88">
        <v>0</v>
      </c>
      <c r="F10" s="88">
        <v>0</v>
      </c>
      <c r="G10" s="90">
        <v>0</v>
      </c>
      <c r="H10" s="91">
        <v>0</v>
      </c>
      <c r="I10" s="92"/>
    </row>
    <row r="11" spans="1:9" x14ac:dyDescent="0.2">
      <c r="A11" s="96"/>
      <c r="B11" s="94" t="s">
        <v>333</v>
      </c>
      <c r="C11" s="95" t="s">
        <v>334</v>
      </c>
      <c r="D11" s="88">
        <v>0</v>
      </c>
      <c r="E11" s="88">
        <v>0</v>
      </c>
      <c r="F11" s="88">
        <v>0</v>
      </c>
      <c r="G11" s="90">
        <v>0</v>
      </c>
      <c r="H11" s="91">
        <v>0</v>
      </c>
      <c r="I11" s="92"/>
    </row>
    <row r="12" spans="1:9" x14ac:dyDescent="0.2">
      <c r="A12" s="96"/>
      <c r="B12" s="94" t="s">
        <v>335</v>
      </c>
      <c r="C12" s="95" t="s">
        <v>276</v>
      </c>
      <c r="D12" s="88">
        <v>0</v>
      </c>
      <c r="E12" s="88">
        <v>0</v>
      </c>
      <c r="F12" s="88">
        <v>0</v>
      </c>
      <c r="G12" s="90">
        <v>0</v>
      </c>
      <c r="H12" s="91">
        <v>0</v>
      </c>
      <c r="I12" s="92"/>
    </row>
    <row r="13" spans="1:9" x14ac:dyDescent="0.2">
      <c r="A13" s="96"/>
      <c r="B13" s="94" t="s">
        <v>336</v>
      </c>
      <c r="C13" s="95" t="s">
        <v>227</v>
      </c>
      <c r="D13" s="88">
        <v>0</v>
      </c>
      <c r="E13" s="88">
        <v>0</v>
      </c>
      <c r="F13" s="89">
        <v>0</v>
      </c>
      <c r="G13" s="90">
        <v>0</v>
      </c>
      <c r="H13" s="91">
        <v>0</v>
      </c>
      <c r="I13" s="92"/>
    </row>
    <row r="14" spans="1:9" x14ac:dyDescent="0.2">
      <c r="A14" s="96" t="s">
        <v>337</v>
      </c>
      <c r="B14" s="94"/>
      <c r="C14" s="95" t="s">
        <v>338</v>
      </c>
      <c r="D14" s="88">
        <v>0</v>
      </c>
      <c r="E14" s="88">
        <v>0</v>
      </c>
      <c r="F14" s="89">
        <v>25000</v>
      </c>
      <c r="G14" s="90">
        <v>0</v>
      </c>
      <c r="H14" s="91">
        <v>0</v>
      </c>
      <c r="I14" s="92"/>
    </row>
    <row r="15" spans="1:9" x14ac:dyDescent="0.2">
      <c r="A15" s="96"/>
      <c r="B15" s="94" t="s">
        <v>339</v>
      </c>
      <c r="C15" s="95" t="s">
        <v>277</v>
      </c>
      <c r="D15" s="88">
        <v>0</v>
      </c>
      <c r="E15" s="88">
        <v>0</v>
      </c>
      <c r="F15" s="88">
        <v>0</v>
      </c>
      <c r="G15" s="90">
        <v>0</v>
      </c>
      <c r="H15" s="91">
        <v>0</v>
      </c>
      <c r="I15" s="92"/>
    </row>
    <row r="16" spans="1:9" x14ac:dyDescent="0.2">
      <c r="A16" s="96"/>
      <c r="B16" s="94" t="s">
        <v>340</v>
      </c>
      <c r="C16" s="95" t="s">
        <v>278</v>
      </c>
      <c r="D16" s="88">
        <v>0</v>
      </c>
      <c r="E16" s="88">
        <v>0</v>
      </c>
      <c r="F16" s="88">
        <v>0</v>
      </c>
      <c r="G16" s="90">
        <v>0</v>
      </c>
      <c r="H16" s="91">
        <v>0</v>
      </c>
      <c r="I16" s="92"/>
    </row>
    <row r="17" spans="1:9" x14ac:dyDescent="0.2">
      <c r="A17" s="96"/>
      <c r="B17" s="94" t="s">
        <v>340</v>
      </c>
      <c r="C17" s="95" t="s">
        <v>687</v>
      </c>
      <c r="D17" s="88">
        <v>0</v>
      </c>
      <c r="E17" s="88">
        <v>0</v>
      </c>
      <c r="F17" s="88">
        <v>109496</v>
      </c>
      <c r="G17" s="90">
        <v>0</v>
      </c>
      <c r="H17" s="91">
        <v>0</v>
      </c>
      <c r="I17" s="92"/>
    </row>
    <row r="18" spans="1:9" x14ac:dyDescent="0.2">
      <c r="A18" s="96"/>
      <c r="B18" s="94" t="s">
        <v>341</v>
      </c>
      <c r="C18" s="95" t="s">
        <v>342</v>
      </c>
      <c r="D18" s="88">
        <v>0</v>
      </c>
      <c r="E18" s="88">
        <v>0</v>
      </c>
      <c r="F18" s="89">
        <v>1000</v>
      </c>
      <c r="G18" s="90">
        <v>0</v>
      </c>
      <c r="H18" s="91">
        <v>0</v>
      </c>
      <c r="I18" s="92"/>
    </row>
    <row r="19" spans="1:9" hidden="1" x14ac:dyDescent="0.2">
      <c r="A19" s="96" t="s">
        <v>343</v>
      </c>
      <c r="B19" s="94"/>
      <c r="C19" s="95" t="s">
        <v>344</v>
      </c>
      <c r="D19" s="88">
        <v>0</v>
      </c>
      <c r="E19" s="88">
        <v>0</v>
      </c>
      <c r="F19" s="89">
        <v>0</v>
      </c>
      <c r="G19" s="90"/>
      <c r="H19" s="91">
        <v>0</v>
      </c>
      <c r="I19" s="92"/>
    </row>
    <row r="20" spans="1:9" hidden="1" x14ac:dyDescent="0.2">
      <c r="A20" s="96" t="s">
        <v>345</v>
      </c>
      <c r="B20" s="94"/>
      <c r="C20" s="95" t="s">
        <v>282</v>
      </c>
      <c r="D20" s="88">
        <v>0</v>
      </c>
      <c r="E20" s="88">
        <v>0</v>
      </c>
      <c r="F20" s="89">
        <v>0</v>
      </c>
      <c r="G20" s="90">
        <v>0</v>
      </c>
      <c r="H20" s="91">
        <v>0</v>
      </c>
      <c r="I20" s="92"/>
    </row>
    <row r="21" spans="1:9" hidden="1" x14ac:dyDescent="0.2">
      <c r="A21" s="96" t="s">
        <v>346</v>
      </c>
      <c r="B21" s="94"/>
      <c r="C21" s="95" t="s">
        <v>283</v>
      </c>
      <c r="D21" s="88">
        <v>0</v>
      </c>
      <c r="E21" s="88">
        <v>0</v>
      </c>
      <c r="F21" s="89">
        <v>0</v>
      </c>
      <c r="G21" s="90">
        <v>0</v>
      </c>
      <c r="H21" s="91">
        <v>0</v>
      </c>
      <c r="I21" s="92"/>
    </row>
    <row r="22" spans="1:9" x14ac:dyDescent="0.2">
      <c r="A22" s="96" t="s">
        <v>347</v>
      </c>
      <c r="B22" s="94"/>
      <c r="C22" s="95" t="s">
        <v>284</v>
      </c>
      <c r="D22" s="88">
        <v>0</v>
      </c>
      <c r="E22" s="88">
        <v>0</v>
      </c>
      <c r="F22" s="89">
        <v>23660</v>
      </c>
      <c r="G22" s="90">
        <v>0</v>
      </c>
      <c r="H22" s="91">
        <v>0</v>
      </c>
      <c r="I22" s="92"/>
    </row>
    <row r="23" spans="1:9" x14ac:dyDescent="0.2">
      <c r="A23" s="96" t="s">
        <v>348</v>
      </c>
      <c r="B23" s="94"/>
      <c r="C23" s="95" t="s">
        <v>349</v>
      </c>
      <c r="D23" s="88">
        <v>0</v>
      </c>
      <c r="E23" s="88">
        <v>0</v>
      </c>
      <c r="F23" s="89">
        <v>239635</v>
      </c>
      <c r="G23" s="90">
        <v>0</v>
      </c>
      <c r="H23" s="91">
        <v>0</v>
      </c>
      <c r="I23" s="92"/>
    </row>
    <row r="24" spans="1:9" hidden="1" x14ac:dyDescent="0.2">
      <c r="A24" s="96"/>
      <c r="B24" s="94" t="s">
        <v>350</v>
      </c>
      <c r="C24" s="95" t="s">
        <v>351</v>
      </c>
      <c r="D24" s="88">
        <v>0</v>
      </c>
      <c r="E24" s="88">
        <v>0</v>
      </c>
      <c r="F24" s="89">
        <v>0</v>
      </c>
      <c r="G24" s="90">
        <v>0</v>
      </c>
      <c r="H24" s="91">
        <v>0</v>
      </c>
      <c r="I24" s="92"/>
    </row>
    <row r="25" spans="1:9" hidden="1" x14ac:dyDescent="0.2">
      <c r="A25" s="96"/>
      <c r="B25" s="94" t="s">
        <v>352</v>
      </c>
      <c r="C25" s="95" t="s">
        <v>353</v>
      </c>
      <c r="D25" s="88">
        <v>0</v>
      </c>
      <c r="E25" s="88">
        <v>0</v>
      </c>
      <c r="F25" s="89">
        <v>0</v>
      </c>
      <c r="G25" s="90">
        <v>0</v>
      </c>
      <c r="H25" s="91">
        <v>0</v>
      </c>
      <c r="I25" s="92"/>
    </row>
    <row r="26" spans="1:9" hidden="1" x14ac:dyDescent="0.2">
      <c r="A26" s="96"/>
      <c r="B26" s="94" t="s">
        <v>354</v>
      </c>
      <c r="C26" s="95" t="s">
        <v>355</v>
      </c>
      <c r="D26" s="88">
        <v>0</v>
      </c>
      <c r="E26" s="88">
        <v>0</v>
      </c>
      <c r="F26" s="89">
        <v>0</v>
      </c>
      <c r="G26" s="90">
        <v>0</v>
      </c>
      <c r="H26" s="91">
        <v>0</v>
      </c>
      <c r="I26" s="92"/>
    </row>
    <row r="27" spans="1:9" hidden="1" x14ac:dyDescent="0.2">
      <c r="A27" s="96"/>
      <c r="B27" s="94" t="s">
        <v>356</v>
      </c>
      <c r="C27" s="95" t="s">
        <v>357</v>
      </c>
      <c r="D27" s="88">
        <v>0</v>
      </c>
      <c r="E27" s="88">
        <v>0</v>
      </c>
      <c r="F27" s="89">
        <v>0</v>
      </c>
      <c r="G27" s="90">
        <v>0</v>
      </c>
      <c r="H27" s="91">
        <v>0</v>
      </c>
      <c r="I27" s="92"/>
    </row>
    <row r="28" spans="1:9" hidden="1" x14ac:dyDescent="0.2">
      <c r="A28" s="93" t="s">
        <v>358</v>
      </c>
      <c r="B28" s="94"/>
      <c r="C28" s="95" t="s">
        <v>359</v>
      </c>
      <c r="D28" s="88">
        <v>0</v>
      </c>
      <c r="E28" s="88">
        <v>0</v>
      </c>
      <c r="F28" s="89">
        <v>0</v>
      </c>
      <c r="G28" s="90">
        <v>0</v>
      </c>
      <c r="H28" s="91">
        <v>0</v>
      </c>
      <c r="I28" s="92"/>
    </row>
    <row r="29" spans="1:9" hidden="1" x14ac:dyDescent="0.2">
      <c r="A29" s="93" t="s">
        <v>360</v>
      </c>
      <c r="B29" s="94"/>
      <c r="C29" s="95" t="s">
        <v>361</v>
      </c>
      <c r="D29" s="88">
        <v>0</v>
      </c>
      <c r="E29" s="88">
        <v>0</v>
      </c>
      <c r="F29" s="89">
        <v>0</v>
      </c>
      <c r="G29" s="90">
        <v>0</v>
      </c>
      <c r="H29" s="91">
        <v>0</v>
      </c>
      <c r="I29" s="92"/>
    </row>
    <row r="30" spans="1:9" x14ac:dyDescent="0.2">
      <c r="A30" s="93" t="s">
        <v>362</v>
      </c>
      <c r="B30" s="94"/>
      <c r="C30" s="95" t="s">
        <v>280</v>
      </c>
      <c r="D30" s="88">
        <v>0</v>
      </c>
      <c r="E30" s="88">
        <v>0</v>
      </c>
      <c r="F30" s="89">
        <v>23774</v>
      </c>
      <c r="G30" s="90">
        <v>0</v>
      </c>
      <c r="H30" s="91">
        <v>0</v>
      </c>
      <c r="I30" s="92"/>
    </row>
    <row r="31" spans="1:9" hidden="1" x14ac:dyDescent="0.2">
      <c r="A31" s="97"/>
      <c r="B31" s="98" t="s">
        <v>363</v>
      </c>
      <c r="C31" s="95" t="s">
        <v>287</v>
      </c>
      <c r="D31" s="88">
        <v>0</v>
      </c>
      <c r="E31" s="88">
        <v>0</v>
      </c>
      <c r="F31" s="89">
        <v>0</v>
      </c>
      <c r="G31" s="90">
        <v>0</v>
      </c>
      <c r="H31" s="91">
        <v>0</v>
      </c>
      <c r="I31" s="92"/>
    </row>
    <row r="32" spans="1:9" hidden="1" x14ac:dyDescent="0.2">
      <c r="A32" s="99"/>
      <c r="B32" s="98" t="s">
        <v>364</v>
      </c>
      <c r="C32" s="100" t="s">
        <v>288</v>
      </c>
      <c r="D32" s="88">
        <v>0</v>
      </c>
      <c r="E32" s="88">
        <v>0</v>
      </c>
      <c r="F32" s="89">
        <v>0</v>
      </c>
      <c r="G32" s="90">
        <v>0</v>
      </c>
      <c r="H32" s="91">
        <v>0</v>
      </c>
      <c r="I32" s="92"/>
    </row>
    <row r="33" spans="1:9" hidden="1" x14ac:dyDescent="0.2">
      <c r="A33" s="93" t="s">
        <v>365</v>
      </c>
      <c r="B33" s="94"/>
      <c r="C33" s="95" t="s">
        <v>366</v>
      </c>
      <c r="D33" s="88">
        <v>0</v>
      </c>
      <c r="E33" s="88">
        <v>0</v>
      </c>
      <c r="F33" s="89">
        <v>0</v>
      </c>
      <c r="G33" s="90">
        <v>0</v>
      </c>
      <c r="H33" s="91">
        <v>0</v>
      </c>
      <c r="I33" s="92"/>
    </row>
    <row r="34" spans="1:9" x14ac:dyDescent="0.2">
      <c r="A34" s="99"/>
      <c r="B34" s="98" t="s">
        <v>367</v>
      </c>
      <c r="C34" s="95" t="s">
        <v>289</v>
      </c>
      <c r="D34" s="88">
        <v>0</v>
      </c>
      <c r="E34" s="88">
        <v>0</v>
      </c>
      <c r="F34" s="89">
        <v>157540</v>
      </c>
      <c r="G34" s="90">
        <v>0</v>
      </c>
      <c r="H34" s="91">
        <v>0</v>
      </c>
      <c r="I34" s="92" t="s">
        <v>688</v>
      </c>
    </row>
    <row r="35" spans="1:9" ht="15.75" thickBot="1" x14ac:dyDescent="0.3">
      <c r="A35" s="101" t="s">
        <v>124</v>
      </c>
      <c r="B35" s="102"/>
      <c r="C35" s="103"/>
      <c r="D35" s="104">
        <f>SUM(D6:D34)</f>
        <v>0</v>
      </c>
      <c r="E35" s="104">
        <f>SUM(E6:E34)</f>
        <v>0</v>
      </c>
      <c r="F35" s="105">
        <f>SUM(F6:F34)</f>
        <v>994275</v>
      </c>
      <c r="G35" s="104">
        <f>SUM(G6:G34)</f>
        <v>0</v>
      </c>
      <c r="H35" s="106">
        <f>SUM(H6:H34)</f>
        <v>0</v>
      </c>
      <c r="I35" s="107"/>
    </row>
    <row r="36" spans="1:9" ht="15.75" thickTop="1" x14ac:dyDescent="0.25">
      <c r="A36" s="108" t="s">
        <v>368</v>
      </c>
      <c r="B36" s="109"/>
      <c r="C36" s="110" t="s">
        <v>369</v>
      </c>
      <c r="D36" s="88"/>
      <c r="E36" s="88"/>
      <c r="F36" s="89"/>
      <c r="G36" s="90"/>
      <c r="H36" s="111">
        <v>0</v>
      </c>
      <c r="I36" s="112"/>
    </row>
    <row r="37" spans="1:9" x14ac:dyDescent="0.2">
      <c r="A37" s="96"/>
      <c r="B37" s="94" t="s">
        <v>370</v>
      </c>
      <c r="C37" s="95" t="s">
        <v>371</v>
      </c>
      <c r="D37" s="88">
        <v>0</v>
      </c>
      <c r="E37" s="88">
        <v>0</v>
      </c>
      <c r="F37" s="88">
        <v>0</v>
      </c>
      <c r="G37" s="90">
        <v>0</v>
      </c>
      <c r="H37" s="91">
        <v>0</v>
      </c>
      <c r="I37" s="92"/>
    </row>
    <row r="38" spans="1:9" ht="15" x14ac:dyDescent="0.25">
      <c r="A38" s="116"/>
      <c r="B38" s="117" t="s">
        <v>372</v>
      </c>
      <c r="C38" s="118" t="s">
        <v>373</v>
      </c>
      <c r="D38" s="88">
        <v>0</v>
      </c>
      <c r="E38" s="88">
        <v>0</v>
      </c>
      <c r="F38" s="89">
        <v>5627202.3426564252</v>
      </c>
      <c r="G38" s="90">
        <v>0</v>
      </c>
      <c r="H38" s="91"/>
      <c r="I38" s="120"/>
    </row>
    <row r="39" spans="1:9" x14ac:dyDescent="0.2">
      <c r="A39" s="96"/>
      <c r="B39" s="94" t="s">
        <v>374</v>
      </c>
      <c r="C39" s="95" t="s">
        <v>293</v>
      </c>
      <c r="D39" s="88">
        <v>0</v>
      </c>
      <c r="E39" s="88">
        <v>0</v>
      </c>
      <c r="F39" s="88">
        <v>0</v>
      </c>
      <c r="G39" s="90">
        <v>0</v>
      </c>
      <c r="H39" s="91">
        <v>0</v>
      </c>
      <c r="I39" s="92"/>
    </row>
    <row r="40" spans="1:9" ht="15" x14ac:dyDescent="0.25">
      <c r="A40" s="96"/>
      <c r="B40" s="121" t="s">
        <v>10</v>
      </c>
      <c r="C40" s="122" t="s">
        <v>136</v>
      </c>
      <c r="D40" s="88">
        <v>0</v>
      </c>
      <c r="E40" s="88">
        <v>0</v>
      </c>
      <c r="F40" s="89">
        <v>907013.15331434179</v>
      </c>
      <c r="G40" s="90">
        <v>0</v>
      </c>
      <c r="H40" s="91">
        <v>0</v>
      </c>
      <c r="I40" s="120"/>
    </row>
    <row r="41" spans="1:9" ht="15" x14ac:dyDescent="0.25">
      <c r="A41" s="96"/>
      <c r="B41" s="121" t="s">
        <v>10</v>
      </c>
      <c r="C41" s="122" t="s">
        <v>375</v>
      </c>
      <c r="D41" s="88">
        <v>0</v>
      </c>
      <c r="E41" s="88">
        <v>0</v>
      </c>
      <c r="F41" s="89">
        <v>88134.839504669639</v>
      </c>
      <c r="G41" s="90">
        <v>0</v>
      </c>
      <c r="H41" s="91">
        <v>0</v>
      </c>
      <c r="I41" s="92"/>
    </row>
    <row r="42" spans="1:9" ht="15" x14ac:dyDescent="0.25">
      <c r="A42" s="96"/>
      <c r="B42" s="121" t="s">
        <v>10</v>
      </c>
      <c r="C42" s="122" t="s">
        <v>376</v>
      </c>
      <c r="D42" s="88">
        <v>0</v>
      </c>
      <c r="E42" s="88">
        <v>0</v>
      </c>
      <c r="F42" s="89">
        <v>93695.037872653236</v>
      </c>
      <c r="G42" s="90">
        <v>0</v>
      </c>
      <c r="H42" s="91">
        <v>0</v>
      </c>
      <c r="I42" s="92"/>
    </row>
    <row r="43" spans="1:9" ht="15" x14ac:dyDescent="0.25">
      <c r="A43" s="96"/>
      <c r="B43" s="121" t="s">
        <v>10</v>
      </c>
      <c r="C43" s="122" t="s">
        <v>138</v>
      </c>
      <c r="D43" s="88">
        <v>0</v>
      </c>
      <c r="E43" s="88">
        <v>0</v>
      </c>
      <c r="F43" s="89">
        <v>0</v>
      </c>
      <c r="G43" s="90">
        <v>0</v>
      </c>
      <c r="H43" s="91">
        <v>0</v>
      </c>
      <c r="I43" s="92"/>
    </row>
    <row r="44" spans="1:9" s="130" customFormat="1" x14ac:dyDescent="0.2">
      <c r="A44" s="123" t="s">
        <v>377</v>
      </c>
      <c r="B44" s="124"/>
      <c r="C44" s="125" t="s">
        <v>378</v>
      </c>
      <c r="D44" s="126">
        <v>0</v>
      </c>
      <c r="E44" s="126">
        <v>0</v>
      </c>
      <c r="F44" s="305">
        <v>552509</v>
      </c>
      <c r="G44" s="306">
        <v>0</v>
      </c>
      <c r="H44" s="307">
        <v>0</v>
      </c>
      <c r="I44" s="129"/>
    </row>
    <row r="45" spans="1:9" x14ac:dyDescent="0.2">
      <c r="A45" s="96"/>
      <c r="B45" s="94" t="s">
        <v>379</v>
      </c>
      <c r="C45" s="95" t="s">
        <v>31</v>
      </c>
      <c r="D45" s="88">
        <v>0</v>
      </c>
      <c r="E45" s="88">
        <v>0</v>
      </c>
      <c r="F45" s="88">
        <v>0</v>
      </c>
      <c r="G45" s="90">
        <v>0</v>
      </c>
      <c r="H45" s="91">
        <v>0</v>
      </c>
      <c r="I45" s="92"/>
    </row>
    <row r="46" spans="1:9" ht="15" x14ac:dyDescent="0.25">
      <c r="A46" s="96"/>
      <c r="B46" s="121" t="s">
        <v>33</v>
      </c>
      <c r="C46" s="122" t="s">
        <v>222</v>
      </c>
      <c r="D46" s="88">
        <v>0</v>
      </c>
      <c r="E46" s="88">
        <v>0</v>
      </c>
      <c r="F46" s="89">
        <v>513186</v>
      </c>
      <c r="G46" s="90">
        <v>0</v>
      </c>
      <c r="H46" s="91">
        <v>0</v>
      </c>
      <c r="I46" s="92"/>
    </row>
    <row r="47" spans="1:9" x14ac:dyDescent="0.2">
      <c r="A47" s="96"/>
      <c r="B47" s="94" t="s">
        <v>380</v>
      </c>
      <c r="C47" s="95" t="s">
        <v>381</v>
      </c>
      <c r="D47" s="88">
        <v>0</v>
      </c>
      <c r="E47" s="88">
        <v>0</v>
      </c>
      <c r="F47" s="89">
        <v>0</v>
      </c>
      <c r="G47" s="90">
        <v>0</v>
      </c>
      <c r="H47" s="91">
        <v>0</v>
      </c>
      <c r="I47" s="92"/>
    </row>
    <row r="48" spans="1:9" x14ac:dyDescent="0.2">
      <c r="A48" s="96"/>
      <c r="B48" s="94" t="s">
        <v>382</v>
      </c>
      <c r="C48" s="95" t="s">
        <v>191</v>
      </c>
      <c r="D48" s="88">
        <v>0</v>
      </c>
      <c r="E48" s="88">
        <v>0</v>
      </c>
      <c r="F48" s="88">
        <v>0</v>
      </c>
      <c r="G48" s="90">
        <v>0</v>
      </c>
      <c r="H48" s="91">
        <v>0</v>
      </c>
      <c r="I48" s="92"/>
    </row>
    <row r="49" spans="1:9" hidden="1" x14ac:dyDescent="0.2">
      <c r="A49" s="96" t="s">
        <v>383</v>
      </c>
      <c r="B49" s="132"/>
      <c r="C49" s="95" t="s">
        <v>384</v>
      </c>
      <c r="D49" s="88">
        <v>0</v>
      </c>
      <c r="E49" s="88">
        <v>0</v>
      </c>
      <c r="F49" s="89">
        <v>0</v>
      </c>
      <c r="G49" s="90">
        <v>0</v>
      </c>
      <c r="H49" s="91">
        <v>0</v>
      </c>
      <c r="I49" s="133"/>
    </row>
    <row r="50" spans="1:9" hidden="1" x14ac:dyDescent="0.2">
      <c r="A50" s="96" t="s">
        <v>385</v>
      </c>
      <c r="B50" s="134"/>
      <c r="C50" s="95" t="s">
        <v>386</v>
      </c>
      <c r="D50" s="88">
        <v>0</v>
      </c>
      <c r="E50" s="88">
        <v>0</v>
      </c>
      <c r="F50" s="89">
        <v>0</v>
      </c>
      <c r="G50" s="90">
        <v>0</v>
      </c>
      <c r="H50" s="91">
        <v>0</v>
      </c>
      <c r="I50" s="92"/>
    </row>
    <row r="51" spans="1:9" ht="15.75" thickBot="1" x14ac:dyDescent="0.3">
      <c r="A51" s="101" t="s">
        <v>125</v>
      </c>
      <c r="B51" s="102"/>
      <c r="C51" s="103"/>
      <c r="D51" s="104">
        <f>SUM(D36:D50)</f>
        <v>0</v>
      </c>
      <c r="E51" s="104">
        <f>SUM(E36:E50)</f>
        <v>0</v>
      </c>
      <c r="F51" s="105">
        <f>SUM(F36:F50)</f>
        <v>7781740.3733480899</v>
      </c>
      <c r="G51" s="104">
        <f>SUM(G36:G50)</f>
        <v>0</v>
      </c>
      <c r="H51" s="106">
        <f>SUM(H36:H50)</f>
        <v>0</v>
      </c>
      <c r="I51" s="107"/>
    </row>
    <row r="52" spans="1:9" ht="15.75" thickTop="1" x14ac:dyDescent="0.25">
      <c r="A52" s="135" t="s">
        <v>387</v>
      </c>
      <c r="B52" s="136"/>
      <c r="C52" s="87" t="s">
        <v>388</v>
      </c>
      <c r="D52" s="137"/>
      <c r="E52" s="138"/>
      <c r="F52" s="139"/>
      <c r="G52" s="138"/>
      <c r="H52" s="140"/>
      <c r="I52" s="112"/>
    </row>
    <row r="53" spans="1:9" hidden="1" x14ac:dyDescent="0.2">
      <c r="A53" s="141" t="s">
        <v>389</v>
      </c>
      <c r="B53" s="142"/>
      <c r="C53" s="95" t="s">
        <v>390</v>
      </c>
      <c r="D53" s="143">
        <v>0</v>
      </c>
      <c r="E53" s="88">
        <v>0</v>
      </c>
      <c r="F53" s="144">
        <v>0</v>
      </c>
      <c r="G53" s="143">
        <v>0</v>
      </c>
      <c r="H53" s="111">
        <v>0</v>
      </c>
      <c r="I53" s="92"/>
    </row>
    <row r="54" spans="1:9" x14ac:dyDescent="0.2">
      <c r="A54" s="141" t="s">
        <v>391</v>
      </c>
      <c r="B54" s="142"/>
      <c r="C54" s="95" t="s">
        <v>392</v>
      </c>
      <c r="D54" s="143">
        <v>0</v>
      </c>
      <c r="E54" s="88">
        <v>0</v>
      </c>
      <c r="F54" s="144">
        <v>121000</v>
      </c>
      <c r="G54" s="143">
        <v>0</v>
      </c>
      <c r="H54" s="111">
        <v>0</v>
      </c>
      <c r="I54" s="92"/>
    </row>
    <row r="55" spans="1:9" hidden="1" x14ac:dyDescent="0.2">
      <c r="A55" s="145" t="s">
        <v>395</v>
      </c>
      <c r="B55" s="142"/>
      <c r="C55" s="95" t="s">
        <v>299</v>
      </c>
      <c r="D55" s="143">
        <v>0</v>
      </c>
      <c r="E55" s="88">
        <v>0</v>
      </c>
      <c r="F55" s="144">
        <v>0</v>
      </c>
      <c r="G55" s="143">
        <v>0</v>
      </c>
      <c r="H55" s="111">
        <v>0</v>
      </c>
      <c r="I55" s="92"/>
    </row>
    <row r="56" spans="1:9" x14ac:dyDescent="0.2">
      <c r="A56" s="141" t="s">
        <v>396</v>
      </c>
      <c r="B56" s="142"/>
      <c r="C56" s="95" t="s">
        <v>298</v>
      </c>
      <c r="D56" s="143">
        <v>0</v>
      </c>
      <c r="E56" s="88">
        <v>0</v>
      </c>
      <c r="F56" s="144">
        <v>988633</v>
      </c>
      <c r="G56" s="143">
        <v>0</v>
      </c>
      <c r="H56" s="111">
        <v>0</v>
      </c>
      <c r="I56" s="92"/>
    </row>
    <row r="57" spans="1:9" x14ac:dyDescent="0.2">
      <c r="A57" s="145" t="s">
        <v>397</v>
      </c>
      <c r="B57" s="142"/>
      <c r="C57" s="95" t="s">
        <v>398</v>
      </c>
      <c r="D57" s="143">
        <v>0</v>
      </c>
      <c r="E57" s="88">
        <v>0</v>
      </c>
      <c r="F57" s="144">
        <v>155000</v>
      </c>
      <c r="G57" s="143">
        <v>0</v>
      </c>
      <c r="H57" s="111">
        <v>0</v>
      </c>
      <c r="I57" s="92"/>
    </row>
    <row r="58" spans="1:9" hidden="1" x14ac:dyDescent="0.2">
      <c r="A58" s="141" t="s">
        <v>399</v>
      </c>
      <c r="B58" s="142"/>
      <c r="C58" s="95" t="s">
        <v>400</v>
      </c>
      <c r="D58" s="143">
        <v>0</v>
      </c>
      <c r="E58" s="88">
        <v>0</v>
      </c>
      <c r="F58" s="144">
        <v>0</v>
      </c>
      <c r="G58" s="143">
        <v>0</v>
      </c>
      <c r="H58" s="111">
        <v>0</v>
      </c>
      <c r="I58" s="92"/>
    </row>
    <row r="59" spans="1:9" ht="15.75" thickBot="1" x14ac:dyDescent="0.3">
      <c r="A59" s="146" t="s">
        <v>126</v>
      </c>
      <c r="B59" s="147"/>
      <c r="C59" s="103"/>
      <c r="D59" s="104">
        <f>SUM(D52:D58)</f>
        <v>0</v>
      </c>
      <c r="E59" s="104">
        <f t="shared" ref="E59:H59" si="0">SUM(E52:E58)</f>
        <v>0</v>
      </c>
      <c r="F59" s="105">
        <f t="shared" si="0"/>
        <v>1264633</v>
      </c>
      <c r="G59" s="104">
        <f t="shared" si="0"/>
        <v>0</v>
      </c>
      <c r="H59" s="106">
        <f t="shared" si="0"/>
        <v>0</v>
      </c>
      <c r="I59" s="107"/>
    </row>
    <row r="60" spans="1:9" ht="15.75" thickTop="1" x14ac:dyDescent="0.25">
      <c r="A60" s="135" t="s">
        <v>401</v>
      </c>
      <c r="B60" s="136"/>
      <c r="C60" s="87" t="s">
        <v>402</v>
      </c>
      <c r="D60" s="148"/>
      <c r="E60" s="149"/>
      <c r="F60" s="150"/>
      <c r="G60" s="149"/>
      <c r="H60" s="111">
        <v>0</v>
      </c>
      <c r="I60" s="112"/>
    </row>
    <row r="61" spans="1:9" hidden="1" x14ac:dyDescent="0.2">
      <c r="A61" s="141" t="s">
        <v>403</v>
      </c>
      <c r="B61" s="151"/>
      <c r="C61" s="95" t="s">
        <v>404</v>
      </c>
      <c r="D61" s="143">
        <v>0</v>
      </c>
      <c r="E61" s="152">
        <v>0</v>
      </c>
      <c r="F61" s="144">
        <v>0</v>
      </c>
      <c r="G61" s="143">
        <v>0</v>
      </c>
      <c r="H61" s="111">
        <v>0</v>
      </c>
      <c r="I61" s="92"/>
    </row>
    <row r="62" spans="1:9" hidden="1" x14ac:dyDescent="0.2">
      <c r="A62" s="145"/>
      <c r="B62" s="151" t="s">
        <v>405</v>
      </c>
      <c r="C62" s="95" t="s">
        <v>406</v>
      </c>
      <c r="D62" s="143">
        <v>0</v>
      </c>
      <c r="E62" s="88">
        <v>0</v>
      </c>
      <c r="F62" s="144">
        <v>0</v>
      </c>
      <c r="G62" s="143">
        <v>0</v>
      </c>
      <c r="H62" s="111">
        <v>0</v>
      </c>
      <c r="I62" s="92"/>
    </row>
    <row r="63" spans="1:9" hidden="1" x14ac:dyDescent="0.2">
      <c r="A63" s="145"/>
      <c r="B63" s="151" t="s">
        <v>407</v>
      </c>
      <c r="C63" s="95" t="s">
        <v>408</v>
      </c>
      <c r="D63" s="143">
        <v>0</v>
      </c>
      <c r="E63" s="88">
        <v>0</v>
      </c>
      <c r="F63" s="144">
        <v>0</v>
      </c>
      <c r="G63" s="143">
        <v>0</v>
      </c>
      <c r="H63" s="111">
        <v>0</v>
      </c>
      <c r="I63" s="92"/>
    </row>
    <row r="64" spans="1:9" x14ac:dyDescent="0.2">
      <c r="A64" s="145" t="s">
        <v>409</v>
      </c>
      <c r="B64" s="153"/>
      <c r="C64" s="95" t="s">
        <v>301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92"/>
    </row>
    <row r="65" spans="1:9" hidden="1" x14ac:dyDescent="0.2">
      <c r="A65" s="145" t="s">
        <v>410</v>
      </c>
      <c r="B65" s="153"/>
      <c r="C65" s="95" t="s">
        <v>411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92"/>
    </row>
    <row r="66" spans="1:9" hidden="1" x14ac:dyDescent="0.2">
      <c r="A66" s="141" t="s">
        <v>412</v>
      </c>
      <c r="B66" s="153"/>
      <c r="C66" s="95" t="s">
        <v>413</v>
      </c>
      <c r="D66" s="143">
        <v>0</v>
      </c>
      <c r="E66" s="88">
        <v>0</v>
      </c>
      <c r="F66" s="144">
        <v>0</v>
      </c>
      <c r="G66" s="143">
        <v>0</v>
      </c>
      <c r="H66" s="111">
        <v>0</v>
      </c>
      <c r="I66" s="92"/>
    </row>
    <row r="67" spans="1:9" hidden="1" x14ac:dyDescent="0.2">
      <c r="A67" s="145" t="s">
        <v>414</v>
      </c>
      <c r="B67" s="153"/>
      <c r="C67" s="95" t="s">
        <v>415</v>
      </c>
      <c r="D67" s="143">
        <v>0</v>
      </c>
      <c r="E67" s="88">
        <v>0</v>
      </c>
      <c r="F67" s="144">
        <v>0</v>
      </c>
      <c r="G67" s="143">
        <v>0</v>
      </c>
      <c r="H67" s="111">
        <v>0</v>
      </c>
      <c r="I67" s="92"/>
    </row>
    <row r="68" spans="1:9" hidden="1" x14ac:dyDescent="0.2">
      <c r="A68" s="141" t="s">
        <v>416</v>
      </c>
      <c r="B68" s="153"/>
      <c r="C68" s="95" t="s">
        <v>417</v>
      </c>
      <c r="D68" s="143">
        <v>0</v>
      </c>
      <c r="E68" s="88">
        <v>0</v>
      </c>
      <c r="F68" s="144">
        <v>0</v>
      </c>
      <c r="G68" s="143">
        <v>0</v>
      </c>
      <c r="H68" s="111">
        <v>0</v>
      </c>
      <c r="I68" s="92"/>
    </row>
    <row r="69" spans="1:9" ht="15.75" thickBot="1" x14ac:dyDescent="0.3">
      <c r="A69" s="154" t="s">
        <v>127</v>
      </c>
      <c r="B69" s="155"/>
      <c r="C69" s="156"/>
      <c r="D69" s="157">
        <f>SUM(D60:D68)</f>
        <v>0</v>
      </c>
      <c r="E69" s="157">
        <f>SUM(E60:E68)</f>
        <v>0</v>
      </c>
      <c r="F69" s="158">
        <f>SUM(F60:F68)</f>
        <v>0</v>
      </c>
      <c r="G69" s="157">
        <f>SUM(G60:G68)</f>
        <v>0</v>
      </c>
      <c r="H69" s="159">
        <f>SUM(H60:H68)</f>
        <v>0</v>
      </c>
      <c r="I69" s="92"/>
    </row>
    <row r="70" spans="1:9" ht="15" x14ac:dyDescent="0.25">
      <c r="A70" s="160" t="s">
        <v>418</v>
      </c>
      <c r="B70" s="161"/>
      <c r="C70" s="162" t="s">
        <v>419</v>
      </c>
      <c r="D70" s="143"/>
      <c r="E70" s="143"/>
      <c r="F70" s="144"/>
      <c r="G70" s="143"/>
      <c r="H70" s="111">
        <v>0</v>
      </c>
      <c r="I70" s="92"/>
    </row>
    <row r="71" spans="1:9" x14ac:dyDescent="0.2">
      <c r="A71" s="141"/>
      <c r="B71" s="142" t="s">
        <v>420</v>
      </c>
      <c r="C71" s="95"/>
      <c r="D71" s="143">
        <v>0</v>
      </c>
      <c r="E71" s="143">
        <v>0</v>
      </c>
      <c r="F71" s="144">
        <v>63073</v>
      </c>
      <c r="G71" s="143">
        <v>0</v>
      </c>
      <c r="H71" s="111">
        <v>0</v>
      </c>
      <c r="I71" s="92"/>
    </row>
    <row r="72" spans="1:9" x14ac:dyDescent="0.2">
      <c r="A72" s="145"/>
      <c r="B72" s="142" t="s">
        <v>304</v>
      </c>
      <c r="C72" s="95"/>
      <c r="D72" s="143">
        <v>0</v>
      </c>
      <c r="E72" s="143">
        <v>0</v>
      </c>
      <c r="F72" s="144">
        <v>3252063</v>
      </c>
      <c r="G72" s="143">
        <v>0</v>
      </c>
      <c r="H72" s="111">
        <v>0</v>
      </c>
      <c r="I72" s="92"/>
    </row>
    <row r="73" spans="1:9" ht="15.75" thickBot="1" x14ac:dyDescent="0.3">
      <c r="A73" s="164" t="s">
        <v>129</v>
      </c>
      <c r="B73" s="165"/>
      <c r="C73" s="166"/>
      <c r="D73" s="167">
        <f>SUM(D71:D72)</f>
        <v>0</v>
      </c>
      <c r="E73" s="167">
        <f>SUM(E71:E72)</f>
        <v>0</v>
      </c>
      <c r="F73" s="158">
        <f t="shared" ref="F73:G73" si="1">SUM(F71:F72)</f>
        <v>3315136</v>
      </c>
      <c r="G73" s="157">
        <f t="shared" si="1"/>
        <v>0</v>
      </c>
      <c r="H73" s="159">
        <f>SUM(H71:H72)</f>
        <v>0</v>
      </c>
      <c r="I73" s="92"/>
    </row>
    <row r="74" spans="1:9" hidden="1" x14ac:dyDescent="0.2">
      <c r="A74" s="145"/>
      <c r="B74" s="142" t="s">
        <v>421</v>
      </c>
      <c r="C74" s="95"/>
      <c r="D74" s="143"/>
      <c r="E74" s="143"/>
      <c r="F74" s="168"/>
      <c r="G74" s="143"/>
      <c r="H74" s="111">
        <v>0</v>
      </c>
      <c r="I74" s="92"/>
    </row>
    <row r="75" spans="1:9" hidden="1" x14ac:dyDescent="0.2">
      <c r="A75" s="141"/>
      <c r="B75" s="142" t="s">
        <v>422</v>
      </c>
      <c r="C75" s="95"/>
      <c r="D75" s="143"/>
      <c r="E75" s="143"/>
      <c r="F75" s="144"/>
      <c r="G75" s="143"/>
      <c r="H75" s="111">
        <v>0</v>
      </c>
      <c r="I75" s="92"/>
    </row>
    <row r="76" spans="1:9" ht="15.75" thickBot="1" x14ac:dyDescent="0.3">
      <c r="A76" s="169" t="s">
        <v>423</v>
      </c>
      <c r="B76" s="170"/>
      <c r="C76" s="171"/>
      <c r="D76" s="172">
        <f>'PCFP - All Revenue AA-1 R -12'!D35+'PCFP - All Revenue AA-1 R -12'!D51+'PCFP - All Revenue AA-1 R -12'!D59+'PCFP - All Revenue AA-1 R -12'!D73+'PCFP - All Revenue AA-1 R -12'!D69</f>
        <v>0</v>
      </c>
      <c r="E76" s="172">
        <f>'PCFP - All Revenue AA-1 R -12'!E35+'PCFP - All Revenue AA-1 R -12'!E51+'PCFP - All Revenue AA-1 R -12'!E59+'PCFP - All Revenue AA-1 R -12'!E73+'PCFP - All Revenue AA-1 R -12'!E69</f>
        <v>0</v>
      </c>
      <c r="F76" s="173">
        <f>'PCFP - All Revenue AA-1 R -12'!F35+'PCFP - All Revenue AA-1 R -12'!F51+'PCFP - All Revenue AA-1 R -12'!F59+'PCFP - All Revenue AA-1 R -12'!F73+'PCFP - All Revenue AA-1 R -12'!F69</f>
        <v>13355784.373348091</v>
      </c>
      <c r="G76" s="172">
        <f>'PCFP - All Revenue AA-1 R -12'!G35+'PCFP - All Revenue AA-1 R -12'!G51+'PCFP - All Revenue AA-1 R -12'!G59+'PCFP - All Revenue AA-1 R -12'!G73+'PCFP - All Revenue AA-1 R -12'!G69</f>
        <v>0</v>
      </c>
      <c r="H76" s="174">
        <f>'PCFP - All Revenue AA-1 R -12'!H35+'PCFP - All Revenue AA-1 R -12'!H51+'PCFP - All Revenue AA-1 R -12'!H59+'PCFP - All Revenue AA-1 R -12'!H73+'PCFP - All Revenue AA-1 R -12'!H69</f>
        <v>0</v>
      </c>
      <c r="I76" s="92"/>
    </row>
    <row r="77" spans="1:9" ht="15.75" thickTop="1" x14ac:dyDescent="0.25">
      <c r="A77" s="175"/>
      <c r="B77" s="176" t="s">
        <v>10</v>
      </c>
      <c r="C77" s="177" t="s">
        <v>424</v>
      </c>
      <c r="D77" s="143"/>
      <c r="E77" s="152"/>
      <c r="F77" s="144">
        <v>216167</v>
      </c>
      <c r="G77" s="143"/>
      <c r="H77" s="111">
        <v>0</v>
      </c>
      <c r="I77" s="92"/>
    </row>
    <row r="78" spans="1:9" ht="15" x14ac:dyDescent="0.25">
      <c r="A78" s="175"/>
      <c r="B78" s="179" t="s">
        <v>10</v>
      </c>
      <c r="C78" s="177" t="s">
        <v>425</v>
      </c>
      <c r="D78" s="143"/>
      <c r="E78" s="88"/>
      <c r="F78" s="144"/>
      <c r="G78" s="143"/>
      <c r="H78" s="111">
        <v>0</v>
      </c>
      <c r="I78" s="92"/>
    </row>
    <row r="79" spans="1:9" ht="15" x14ac:dyDescent="0.25">
      <c r="A79" s="175"/>
      <c r="B79" s="179" t="s">
        <v>10</v>
      </c>
      <c r="C79" s="177" t="s">
        <v>426</v>
      </c>
      <c r="D79" s="143"/>
      <c r="E79" s="88"/>
      <c r="F79" s="144"/>
      <c r="G79" s="143"/>
      <c r="H79" s="111">
        <v>0</v>
      </c>
      <c r="I79" s="92"/>
    </row>
    <row r="80" spans="1:9" ht="15.75" thickBot="1" x14ac:dyDescent="0.3">
      <c r="A80" s="180"/>
      <c r="B80" s="181" t="s">
        <v>10</v>
      </c>
      <c r="C80" s="182" t="s">
        <v>427</v>
      </c>
      <c r="D80" s="157"/>
      <c r="E80" s="167"/>
      <c r="F80" s="158"/>
      <c r="G80" s="157"/>
      <c r="H80" s="183">
        <v>0</v>
      </c>
      <c r="I80" s="92"/>
    </row>
    <row r="81" spans="1:9" ht="15" x14ac:dyDescent="0.25">
      <c r="A81" s="184"/>
      <c r="B81" s="185"/>
      <c r="C81" s="186"/>
      <c r="D81" s="187">
        <f>SUM(D77:D80)</f>
        <v>0</v>
      </c>
      <c r="E81" s="187">
        <f t="shared" ref="E81:G81" si="2">SUM(E77:E80)</f>
        <v>0</v>
      </c>
      <c r="F81" s="187">
        <f t="shared" si="2"/>
        <v>216167</v>
      </c>
      <c r="G81" s="187">
        <f t="shared" si="2"/>
        <v>0</v>
      </c>
      <c r="H81" s="187">
        <f>SUM(H77:H80)</f>
        <v>0</v>
      </c>
    </row>
    <row r="82" spans="1:9" x14ac:dyDescent="0.2">
      <c r="A82" s="189"/>
      <c r="B82" s="189"/>
      <c r="C82" s="190"/>
      <c r="D82" s="190"/>
      <c r="E82" s="190"/>
      <c r="F82" s="190"/>
      <c r="G82" s="190"/>
      <c r="H82" s="538">
        <v>415529</v>
      </c>
    </row>
    <row r="83" spans="1:9" x14ac:dyDescent="0.2">
      <c r="A83" s="94"/>
      <c r="B83" s="94"/>
      <c r="C83" s="191" t="str">
        <f>C1</f>
        <v>Mineral County School District</v>
      </c>
      <c r="D83" s="190" t="s">
        <v>428</v>
      </c>
      <c r="E83" s="190"/>
      <c r="F83" s="190"/>
      <c r="G83" s="192" t="str">
        <f>"Budget Fiscal Year "&amp;TEXT('[12]Form 1'!$C$136, "mm/dd/yy")</f>
        <v>Budget Fiscal Year 2019-2020</v>
      </c>
      <c r="H83" s="539">
        <f>SUM(H81:H82)</f>
        <v>415529</v>
      </c>
      <c r="I83" s="60" t="s">
        <v>689</v>
      </c>
    </row>
    <row r="84" spans="1:9" x14ac:dyDescent="0.2">
      <c r="A84" s="98"/>
      <c r="B84" s="98"/>
      <c r="C84" s="193" t="s">
        <v>429</v>
      </c>
      <c r="D84" s="189" t="s">
        <v>430</v>
      </c>
      <c r="E84" s="190"/>
      <c r="F84" s="194"/>
      <c r="G84" s="192" t="s">
        <v>431</v>
      </c>
      <c r="H84" s="539">
        <f>H74+H81+H82</f>
        <v>415529</v>
      </c>
      <c r="I84" s="60" t="s">
        <v>690</v>
      </c>
    </row>
    <row r="85" spans="1:9" x14ac:dyDescent="0.2">
      <c r="A85" s="189"/>
      <c r="B85" s="189"/>
      <c r="C85" s="190"/>
      <c r="D85" s="190"/>
      <c r="E85" s="190"/>
      <c r="F85" s="195"/>
      <c r="G85" s="196"/>
      <c r="H85" s="540">
        <f>H84-H83</f>
        <v>0</v>
      </c>
    </row>
    <row r="86" spans="1:9" x14ac:dyDescent="0.2">
      <c r="B86" s="62" t="s">
        <v>377</v>
      </c>
      <c r="C86" s="60" t="s">
        <v>691</v>
      </c>
      <c r="D86" s="60">
        <v>28175</v>
      </c>
    </row>
    <row r="87" spans="1:9" x14ac:dyDescent="0.2">
      <c r="B87" s="62" t="s">
        <v>377</v>
      </c>
      <c r="C87" s="60" t="s">
        <v>692</v>
      </c>
      <c r="D87" s="60">
        <v>10841</v>
      </c>
    </row>
    <row r="88" spans="1:9" x14ac:dyDescent="0.2">
      <c r="B88" s="62" t="s">
        <v>377</v>
      </c>
      <c r="C88" s="60" t="s">
        <v>693</v>
      </c>
      <c r="D88" s="60">
        <v>248000</v>
      </c>
    </row>
    <row r="89" spans="1:9" x14ac:dyDescent="0.2">
      <c r="B89" s="62" t="s">
        <v>377</v>
      </c>
      <c r="C89" s="60" t="s">
        <v>694</v>
      </c>
      <c r="D89" s="60">
        <v>84000</v>
      </c>
    </row>
    <row r="90" spans="1:9" x14ac:dyDescent="0.2">
      <c r="B90" s="62" t="s">
        <v>377</v>
      </c>
      <c r="C90" s="60" t="s">
        <v>695</v>
      </c>
      <c r="D90" s="60">
        <v>4000</v>
      </c>
    </row>
    <row r="91" spans="1:9" x14ac:dyDescent="0.2">
      <c r="B91" s="62" t="s">
        <v>377</v>
      </c>
      <c r="C91" s="60" t="s">
        <v>696</v>
      </c>
      <c r="D91" s="60">
        <v>177493</v>
      </c>
    </row>
    <row r="92" spans="1:9" x14ac:dyDescent="0.2">
      <c r="C92" s="278" t="s">
        <v>697</v>
      </c>
      <c r="D92" s="60">
        <f>SUM(D86:D91)</f>
        <v>552509</v>
      </c>
    </row>
  </sheetData>
  <pageMargins left="0.2" right="0.2" top="0.25" bottom="0.25" header="0.05" footer="0.05"/>
  <pageSetup paperSize="5" scale="66" fitToHeight="2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66AA-C7B7-4DE5-ADCE-CC066FA297A8}">
  <sheetPr>
    <tabColor rgb="FFFFFF00"/>
    <pageSetUpPr fitToPage="1"/>
  </sheetPr>
  <dimension ref="A1:L151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customWidth="1"/>
    <col min="8" max="8" width="16.140625" style="277" bestFit="1" customWidth="1"/>
    <col min="9" max="9" width="19.5703125" style="277" bestFit="1" customWidth="1"/>
    <col min="10" max="10" width="18.5703125" style="277" bestFit="1" customWidth="1"/>
    <col min="11" max="11" width="9.2851562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1918063</v>
      </c>
      <c r="D3" s="89">
        <v>911968</v>
      </c>
      <c r="E3" s="89">
        <v>203595</v>
      </c>
      <c r="F3" s="89">
        <v>0</v>
      </c>
      <c r="G3" s="89">
        <v>0</v>
      </c>
      <c r="H3" s="89">
        <v>0</v>
      </c>
      <c r="I3" s="214">
        <v>0</v>
      </c>
      <c r="J3" s="89">
        <f>SUM(C3:I3)</f>
        <v>3033626</v>
      </c>
      <c r="K3" s="92"/>
    </row>
    <row r="4" spans="1:11" hidden="1" x14ac:dyDescent="0.2">
      <c r="A4" s="116">
        <v>200</v>
      </c>
      <c r="B4" s="95" t="s">
        <v>135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214">
        <v>0</v>
      </c>
      <c r="J4" s="89">
        <f t="shared" ref="J4:J67" si="0">SUM(C4:I4)</f>
        <v>0</v>
      </c>
      <c r="K4" s="92"/>
    </row>
    <row r="5" spans="1:11" hidden="1" x14ac:dyDescent="0.2">
      <c r="A5" s="210" t="s">
        <v>10</v>
      </c>
      <c r="B5" s="211" t="s">
        <v>136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214">
        <v>0</v>
      </c>
      <c r="J5" s="89">
        <f t="shared" si="0"/>
        <v>0</v>
      </c>
      <c r="K5" s="212"/>
    </row>
    <row r="6" spans="1:11" hidden="1" x14ac:dyDescent="0.2">
      <c r="A6" s="116">
        <v>270</v>
      </c>
      <c r="B6" s="95" t="s">
        <v>137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214">
        <v>0</v>
      </c>
      <c r="J6" s="89">
        <f t="shared" si="0"/>
        <v>0</v>
      </c>
      <c r="K6" s="92"/>
    </row>
    <row r="7" spans="1:11" hidden="1" x14ac:dyDescent="0.2">
      <c r="A7" s="210" t="s">
        <v>10</v>
      </c>
      <c r="B7" s="211" t="s">
        <v>138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214">
        <v>0</v>
      </c>
      <c r="J7" s="89">
        <f t="shared" si="0"/>
        <v>0</v>
      </c>
      <c r="K7" s="212"/>
    </row>
    <row r="8" spans="1:11" x14ac:dyDescent="0.2">
      <c r="A8" s="116">
        <v>300</v>
      </c>
      <c r="B8" s="95" t="s">
        <v>139</v>
      </c>
      <c r="C8" s="89">
        <v>63409</v>
      </c>
      <c r="D8" s="89">
        <v>32571</v>
      </c>
      <c r="E8" s="89">
        <v>4052</v>
      </c>
      <c r="F8" s="89">
        <v>0</v>
      </c>
      <c r="G8" s="89">
        <v>0</v>
      </c>
      <c r="H8" s="89">
        <v>0</v>
      </c>
      <c r="I8" s="214">
        <v>0</v>
      </c>
      <c r="J8" s="89">
        <f t="shared" si="0"/>
        <v>100032</v>
      </c>
      <c r="K8" s="92"/>
    </row>
    <row r="9" spans="1:11" x14ac:dyDescent="0.2">
      <c r="A9" s="116">
        <v>400</v>
      </c>
      <c r="B9" s="95" t="s">
        <v>140</v>
      </c>
      <c r="C9" s="89">
        <v>53600</v>
      </c>
      <c r="D9" s="89">
        <v>34984</v>
      </c>
      <c r="E9" s="89">
        <v>0</v>
      </c>
      <c r="F9" s="89">
        <v>0</v>
      </c>
      <c r="G9" s="89">
        <v>0</v>
      </c>
      <c r="H9" s="89">
        <v>0</v>
      </c>
      <c r="I9" s="214">
        <v>0</v>
      </c>
      <c r="J9" s="89">
        <f t="shared" si="0"/>
        <v>88584</v>
      </c>
      <c r="K9" s="92"/>
    </row>
    <row r="10" spans="1:11" hidden="1" x14ac:dyDescent="0.2">
      <c r="A10" s="210" t="s">
        <v>10</v>
      </c>
      <c r="B10" s="211" t="s">
        <v>141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214">
        <v>0</v>
      </c>
      <c r="J10" s="89">
        <f t="shared" si="0"/>
        <v>0</v>
      </c>
      <c r="K10" s="212"/>
    </row>
    <row r="11" spans="1:11" hidden="1" x14ac:dyDescent="0.2">
      <c r="A11" s="210" t="s">
        <v>10</v>
      </c>
      <c r="B11" s="211" t="s">
        <v>142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214">
        <v>0</v>
      </c>
      <c r="J11" s="89">
        <f t="shared" si="0"/>
        <v>0</v>
      </c>
      <c r="K11" s="212"/>
    </row>
    <row r="12" spans="1:11" hidden="1" x14ac:dyDescent="0.2">
      <c r="A12" s="116">
        <v>440</v>
      </c>
      <c r="B12" s="95" t="s">
        <v>143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214">
        <v>0</v>
      </c>
      <c r="J12" s="89">
        <f t="shared" si="0"/>
        <v>0</v>
      </c>
      <c r="K12" s="92"/>
    </row>
    <row r="13" spans="1:11" hidden="1" x14ac:dyDescent="0.2">
      <c r="A13" s="116">
        <v>500</v>
      </c>
      <c r="B13" s="95" t="s">
        <v>144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214">
        <v>0</v>
      </c>
      <c r="J13" s="89">
        <f t="shared" si="0"/>
        <v>0</v>
      </c>
      <c r="K13" s="92"/>
    </row>
    <row r="14" spans="1:11" hidden="1" x14ac:dyDescent="0.2">
      <c r="A14" s="116">
        <v>600</v>
      </c>
      <c r="B14" s="95" t="s">
        <v>145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214">
        <v>0</v>
      </c>
      <c r="J14" s="89">
        <f t="shared" si="0"/>
        <v>0</v>
      </c>
      <c r="K14" s="92"/>
    </row>
    <row r="15" spans="1:11" hidden="1" x14ac:dyDescent="0.2">
      <c r="A15" s="116">
        <v>800</v>
      </c>
      <c r="B15" s="95" t="s">
        <v>146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214">
        <v>0</v>
      </c>
      <c r="J15" s="89">
        <f t="shared" si="0"/>
        <v>0</v>
      </c>
      <c r="K15" s="92"/>
    </row>
    <row r="16" spans="1:11" x14ac:dyDescent="0.2">
      <c r="A16" s="116">
        <v>910</v>
      </c>
      <c r="B16" s="95" t="s">
        <v>147</v>
      </c>
      <c r="C16" s="89">
        <v>34357</v>
      </c>
      <c r="D16" s="89">
        <v>4974</v>
      </c>
      <c r="E16" s="89">
        <v>6795</v>
      </c>
      <c r="F16" s="89">
        <v>0</v>
      </c>
      <c r="G16" s="89">
        <v>0</v>
      </c>
      <c r="H16" s="89">
        <v>0</v>
      </c>
      <c r="I16" s="214">
        <v>0</v>
      </c>
      <c r="J16" s="89">
        <f t="shared" si="0"/>
        <v>46126</v>
      </c>
      <c r="K16" s="92"/>
    </row>
    <row r="17" spans="1:11" x14ac:dyDescent="0.2">
      <c r="A17" s="116">
        <v>920</v>
      </c>
      <c r="B17" s="95" t="s">
        <v>148</v>
      </c>
      <c r="C17" s="89">
        <v>119666</v>
      </c>
      <c r="D17" s="89">
        <v>15154</v>
      </c>
      <c r="E17" s="89">
        <v>47197</v>
      </c>
      <c r="F17" s="89">
        <v>0</v>
      </c>
      <c r="G17" s="89">
        <v>0</v>
      </c>
      <c r="H17" s="89">
        <v>0</v>
      </c>
      <c r="I17" s="214">
        <v>0</v>
      </c>
      <c r="J17" s="89">
        <f t="shared" si="0"/>
        <v>182017</v>
      </c>
      <c r="K17" s="92"/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hidden="1" x14ac:dyDescent="0.25">
      <c r="A20" s="215" t="s">
        <v>443</v>
      </c>
      <c r="B20" s="216" t="s">
        <v>444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0</v>
      </c>
      <c r="K20" s="92"/>
    </row>
    <row r="21" spans="1:11" x14ac:dyDescent="0.2">
      <c r="A21" s="116">
        <v>2100</v>
      </c>
      <c r="B21" s="95" t="s">
        <v>151</v>
      </c>
      <c r="C21" s="89">
        <v>219550</v>
      </c>
      <c r="D21" s="89">
        <v>118327</v>
      </c>
      <c r="E21" s="89">
        <v>4599</v>
      </c>
      <c r="F21" s="89">
        <v>0</v>
      </c>
      <c r="G21" s="89">
        <v>0</v>
      </c>
      <c r="H21" s="89">
        <v>0</v>
      </c>
      <c r="I21" s="214">
        <v>0</v>
      </c>
      <c r="J21" s="89">
        <f t="shared" si="0"/>
        <v>342476</v>
      </c>
      <c r="K21" s="92"/>
    </row>
    <row r="22" spans="1:11" x14ac:dyDescent="0.2">
      <c r="A22" s="116">
        <v>2200</v>
      </c>
      <c r="B22" s="95" t="s">
        <v>152</v>
      </c>
      <c r="C22" s="89">
        <v>161952</v>
      </c>
      <c r="D22" s="89">
        <v>97808</v>
      </c>
      <c r="E22" s="89">
        <v>103233</v>
      </c>
      <c r="F22" s="89">
        <v>0</v>
      </c>
      <c r="G22" s="89">
        <v>0</v>
      </c>
      <c r="H22" s="89">
        <v>0</v>
      </c>
      <c r="I22" s="214">
        <v>0</v>
      </c>
      <c r="J22" s="89">
        <f t="shared" si="0"/>
        <v>362993</v>
      </c>
      <c r="K22" s="92"/>
    </row>
    <row r="23" spans="1:11" x14ac:dyDescent="0.2">
      <c r="A23" s="116">
        <v>2300</v>
      </c>
      <c r="B23" s="95" t="s">
        <v>153</v>
      </c>
      <c r="C23" s="89">
        <v>157947</v>
      </c>
      <c r="D23" s="89">
        <v>65600</v>
      </c>
      <c r="E23" s="89">
        <v>143310</v>
      </c>
      <c r="F23" s="89">
        <v>0</v>
      </c>
      <c r="G23" s="89">
        <v>0</v>
      </c>
      <c r="H23" s="89">
        <v>0</v>
      </c>
      <c r="I23" s="214">
        <v>0</v>
      </c>
      <c r="J23" s="89">
        <f t="shared" si="0"/>
        <v>366857</v>
      </c>
      <c r="K23" s="92"/>
    </row>
    <row r="24" spans="1:11" x14ac:dyDescent="0.2">
      <c r="A24" s="116">
        <v>2400</v>
      </c>
      <c r="B24" s="95" t="s">
        <v>154</v>
      </c>
      <c r="C24" s="89">
        <v>493617</v>
      </c>
      <c r="D24" s="89">
        <v>240837</v>
      </c>
      <c r="E24" s="89">
        <v>20455</v>
      </c>
      <c r="F24" s="89">
        <v>0</v>
      </c>
      <c r="G24" s="89">
        <v>0</v>
      </c>
      <c r="H24" s="89">
        <v>0</v>
      </c>
      <c r="I24" s="214">
        <v>0</v>
      </c>
      <c r="J24" s="89">
        <f t="shared" si="0"/>
        <v>754909</v>
      </c>
      <c r="K24" s="92"/>
    </row>
    <row r="25" spans="1:11" x14ac:dyDescent="0.2">
      <c r="A25" s="116">
        <v>2500</v>
      </c>
      <c r="B25" s="95" t="s">
        <v>155</v>
      </c>
      <c r="C25" s="89">
        <v>268087</v>
      </c>
      <c r="D25" s="89">
        <v>480258</v>
      </c>
      <c r="E25" s="89">
        <v>108359</v>
      </c>
      <c r="F25" s="89">
        <v>0</v>
      </c>
      <c r="G25" s="89">
        <v>0</v>
      </c>
      <c r="H25" s="89">
        <v>0</v>
      </c>
      <c r="I25" s="214">
        <v>0</v>
      </c>
      <c r="J25" s="89">
        <f t="shared" si="0"/>
        <v>856704</v>
      </c>
      <c r="K25" s="92"/>
    </row>
    <row r="26" spans="1:11" x14ac:dyDescent="0.2">
      <c r="A26" s="116">
        <v>2600</v>
      </c>
      <c r="B26" s="95" t="s">
        <v>156</v>
      </c>
      <c r="C26" s="89">
        <v>372385</v>
      </c>
      <c r="D26" s="89">
        <v>178021</v>
      </c>
      <c r="E26" s="89">
        <v>513515</v>
      </c>
      <c r="F26" s="89">
        <v>0</v>
      </c>
      <c r="G26" s="89">
        <v>0</v>
      </c>
      <c r="H26" s="89">
        <v>0</v>
      </c>
      <c r="I26" s="214">
        <v>0</v>
      </c>
      <c r="J26" s="89">
        <f t="shared" si="0"/>
        <v>1063921</v>
      </c>
      <c r="K26" s="92"/>
    </row>
    <row r="27" spans="1:11" hidden="1" x14ac:dyDescent="0.2">
      <c r="A27" s="217">
        <v>2700</v>
      </c>
      <c r="B27" s="211" t="s">
        <v>157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214">
        <v>0</v>
      </c>
      <c r="J27" s="89">
        <f t="shared" si="0"/>
        <v>0</v>
      </c>
      <c r="K27" s="212"/>
    </row>
    <row r="28" spans="1:11" x14ac:dyDescent="0.2">
      <c r="A28" s="116">
        <v>2900</v>
      </c>
      <c r="B28" s="95" t="s">
        <v>158</v>
      </c>
      <c r="C28" s="89">
        <v>141857</v>
      </c>
      <c r="D28" s="89">
        <v>69181</v>
      </c>
      <c r="E28" s="89">
        <v>124434</v>
      </c>
      <c r="F28" s="89">
        <v>0</v>
      </c>
      <c r="G28" s="89">
        <v>0</v>
      </c>
      <c r="H28" s="89">
        <v>0</v>
      </c>
      <c r="I28" s="214">
        <v>0</v>
      </c>
      <c r="J28" s="89">
        <f t="shared" si="0"/>
        <v>335472</v>
      </c>
      <c r="K28" s="92"/>
    </row>
    <row r="29" spans="1:11" s="204" customFormat="1" ht="15" hidden="1" x14ac:dyDescent="0.25">
      <c r="A29" s="218">
        <v>3000</v>
      </c>
      <c r="B29" s="216" t="s">
        <v>159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214">
        <v>0</v>
      </c>
      <c r="J29" s="89">
        <f t="shared" si="0"/>
        <v>0</v>
      </c>
      <c r="K29" s="219"/>
    </row>
    <row r="30" spans="1:11" hidden="1" x14ac:dyDescent="0.2">
      <c r="A30" s="217">
        <v>3100</v>
      </c>
      <c r="B30" s="211" t="s">
        <v>160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214">
        <v>0</v>
      </c>
      <c r="J30" s="89">
        <f t="shared" si="0"/>
        <v>0</v>
      </c>
      <c r="K30" s="212"/>
    </row>
    <row r="31" spans="1:11" hidden="1" x14ac:dyDescent="0.2">
      <c r="A31" s="116">
        <v>3200</v>
      </c>
      <c r="B31" s="95" t="s">
        <v>161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214">
        <v>0</v>
      </c>
      <c r="J31" s="89">
        <f t="shared" si="0"/>
        <v>0</v>
      </c>
      <c r="K31" s="92"/>
    </row>
    <row r="32" spans="1:11" hidden="1" x14ac:dyDescent="0.2">
      <c r="A32" s="116">
        <v>3300</v>
      </c>
      <c r="B32" s="95" t="s">
        <v>162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214">
        <v>0</v>
      </c>
      <c r="J32" s="89">
        <f t="shared" si="0"/>
        <v>0</v>
      </c>
      <c r="K32" s="92"/>
    </row>
    <row r="33" spans="1:11" s="223" customFormat="1" hidden="1" x14ac:dyDescent="0.2">
      <c r="A33" s="220">
        <v>4100</v>
      </c>
      <c r="B33" s="221" t="s">
        <v>163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214">
        <v>0</v>
      </c>
      <c r="J33" s="89">
        <f t="shared" si="0"/>
        <v>0</v>
      </c>
      <c r="K33" s="222"/>
    </row>
    <row r="34" spans="1:11" s="225" customFormat="1" ht="15" hidden="1" x14ac:dyDescent="0.25">
      <c r="A34" s="220">
        <v>4000</v>
      </c>
      <c r="B34" s="221" t="s">
        <v>164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214">
        <v>0</v>
      </c>
      <c r="J34" s="89">
        <f t="shared" si="0"/>
        <v>0</v>
      </c>
      <c r="K34" s="224"/>
    </row>
    <row r="35" spans="1:11" s="223" customFormat="1" hidden="1" x14ac:dyDescent="0.2">
      <c r="A35" s="220">
        <v>4200</v>
      </c>
      <c r="B35" s="221" t="s">
        <v>165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214">
        <v>0</v>
      </c>
      <c r="J35" s="89">
        <f t="shared" si="0"/>
        <v>0</v>
      </c>
      <c r="K35" s="222"/>
    </row>
    <row r="36" spans="1:11" s="223" customFormat="1" hidden="1" x14ac:dyDescent="0.2">
      <c r="A36" s="220">
        <v>4300</v>
      </c>
      <c r="B36" s="221" t="s">
        <v>166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214">
        <v>0</v>
      </c>
      <c r="J36" s="89">
        <f t="shared" si="0"/>
        <v>0</v>
      </c>
      <c r="K36" s="222"/>
    </row>
    <row r="37" spans="1:11" s="223" customFormat="1" ht="28.5" hidden="1" x14ac:dyDescent="0.2">
      <c r="A37" s="220">
        <v>4400</v>
      </c>
      <c r="B37" s="221" t="s">
        <v>167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214">
        <v>0</v>
      </c>
      <c r="J37" s="89">
        <f t="shared" si="0"/>
        <v>0</v>
      </c>
      <c r="K37" s="222"/>
    </row>
    <row r="38" spans="1:11" s="223" customFormat="1" hidden="1" x14ac:dyDescent="0.2">
      <c r="A38" s="220">
        <v>4500</v>
      </c>
      <c r="B38" s="221" t="s">
        <v>168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214">
        <v>0</v>
      </c>
      <c r="J38" s="89">
        <f t="shared" si="0"/>
        <v>0</v>
      </c>
      <c r="K38" s="222"/>
    </row>
    <row r="39" spans="1:11" s="223" customFormat="1" hidden="1" x14ac:dyDescent="0.2">
      <c r="A39" s="220">
        <v>4600</v>
      </c>
      <c r="B39" s="221" t="s">
        <v>169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214">
        <v>0</v>
      </c>
      <c r="J39" s="89">
        <f t="shared" si="0"/>
        <v>0</v>
      </c>
      <c r="K39" s="222"/>
    </row>
    <row r="40" spans="1:11" s="223" customFormat="1" hidden="1" x14ac:dyDescent="0.2">
      <c r="A40" s="220">
        <v>4700</v>
      </c>
      <c r="B40" s="221" t="s">
        <v>170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214">
        <v>0</v>
      </c>
      <c r="J40" s="89">
        <f t="shared" si="0"/>
        <v>0</v>
      </c>
      <c r="K40" s="222"/>
    </row>
    <row r="41" spans="1:11" s="223" customFormat="1" hidden="1" x14ac:dyDescent="0.2">
      <c r="A41" s="220">
        <v>4900</v>
      </c>
      <c r="B41" s="221" t="s">
        <v>171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214">
        <v>0</v>
      </c>
      <c r="J41" s="89">
        <f t="shared" si="0"/>
        <v>0</v>
      </c>
      <c r="K41" s="222"/>
    </row>
    <row r="42" spans="1:11" x14ac:dyDescent="0.2">
      <c r="A42" s="220">
        <v>5000</v>
      </c>
      <c r="B42" s="226" t="s">
        <v>172</v>
      </c>
      <c r="C42" s="89">
        <v>0</v>
      </c>
      <c r="D42" s="89">
        <v>0</v>
      </c>
      <c r="E42" s="89">
        <v>0</v>
      </c>
      <c r="F42" s="89"/>
      <c r="G42" s="89">
        <v>0</v>
      </c>
      <c r="H42" s="89">
        <v>56048</v>
      </c>
      <c r="I42" s="214">
        <v>0</v>
      </c>
      <c r="J42" s="89">
        <f t="shared" si="0"/>
        <v>56048</v>
      </c>
      <c r="K42" s="92"/>
    </row>
    <row r="43" spans="1:11" hidden="1" x14ac:dyDescent="0.2">
      <c r="A43" s="220">
        <v>5000</v>
      </c>
      <c r="B43" s="226" t="s">
        <v>173</v>
      </c>
      <c r="C43" s="89">
        <v>0</v>
      </c>
      <c r="D43" s="89">
        <v>0</v>
      </c>
      <c r="E43" s="89">
        <v>0</v>
      </c>
      <c r="F43" s="89"/>
      <c r="G43" s="89">
        <v>0</v>
      </c>
      <c r="H43" s="89">
        <v>0</v>
      </c>
      <c r="I43" s="214">
        <v>0</v>
      </c>
      <c r="J43" s="89">
        <f t="shared" si="0"/>
        <v>0</v>
      </c>
      <c r="K43" s="92"/>
    </row>
    <row r="44" spans="1:11" hidden="1" x14ac:dyDescent="0.2">
      <c r="A44" s="220">
        <v>6100</v>
      </c>
      <c r="B44" s="226" t="s">
        <v>174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214">
        <v>0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89">
        <v>0</v>
      </c>
      <c r="D45" s="89">
        <v>0</v>
      </c>
      <c r="E45" s="89">
        <v>0</v>
      </c>
      <c r="F45" s="89">
        <v>479240</v>
      </c>
      <c r="G45" s="89">
        <v>0</v>
      </c>
      <c r="H45" s="89">
        <v>0</v>
      </c>
      <c r="I45" s="214">
        <v>0</v>
      </c>
      <c r="J45" s="89">
        <f t="shared" si="0"/>
        <v>479240</v>
      </c>
      <c r="K45" s="92"/>
    </row>
    <row r="46" spans="1:11" x14ac:dyDescent="0.2">
      <c r="A46" s="116">
        <v>6300</v>
      </c>
      <c r="B46" s="95" t="s">
        <v>176</v>
      </c>
      <c r="C46" s="89">
        <v>0</v>
      </c>
      <c r="D46" s="89">
        <v>0</v>
      </c>
      <c r="E46" s="89">
        <v>0</v>
      </c>
      <c r="F46" s="89"/>
      <c r="G46" s="89">
        <v>242070</v>
      </c>
      <c r="H46" s="89">
        <v>0</v>
      </c>
      <c r="I46" s="214">
        <v>0</v>
      </c>
      <c r="J46" s="89">
        <f t="shared" si="0"/>
        <v>242070</v>
      </c>
      <c r="K46" s="92"/>
    </row>
    <row r="47" spans="1:11" ht="15" thickBot="1" x14ac:dyDescent="0.25">
      <c r="A47" s="116">
        <v>8000</v>
      </c>
      <c r="B47" s="227" t="s">
        <v>177</v>
      </c>
      <c r="C47" s="89">
        <v>0</v>
      </c>
      <c r="D47" s="89">
        <v>0</v>
      </c>
      <c r="E47" s="89">
        <v>0</v>
      </c>
      <c r="F47" s="89"/>
      <c r="G47" s="89">
        <v>0</v>
      </c>
      <c r="H47" s="89">
        <v>492582</v>
      </c>
      <c r="I47" s="214">
        <v>0</v>
      </c>
      <c r="J47" s="89">
        <f t="shared" si="0"/>
        <v>492582</v>
      </c>
      <c r="K47" s="92"/>
    </row>
    <row r="48" spans="1:11" ht="15" hidden="1" thickBot="1" x14ac:dyDescent="0.25">
      <c r="A48" s="116"/>
      <c r="B48" s="227" t="s">
        <v>445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214">
        <v>0</v>
      </c>
      <c r="J48" s="89">
        <f t="shared" si="0"/>
        <v>0</v>
      </c>
      <c r="K48" s="92"/>
    </row>
    <row r="49" spans="1:11" ht="15" hidden="1" thickBot="1" x14ac:dyDescent="0.25">
      <c r="A49" s="229"/>
      <c r="B49" s="100" t="s">
        <v>446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214">
        <v>0</v>
      </c>
      <c r="J49" s="89">
        <f t="shared" si="0"/>
        <v>0</v>
      </c>
      <c r="K49" s="92"/>
    </row>
    <row r="50" spans="1:11" ht="15" hidden="1" thickBot="1" x14ac:dyDescent="0.25">
      <c r="A50" s="230"/>
      <c r="B50" s="231" t="s">
        <v>255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316">
        <v>0</v>
      </c>
      <c r="J50" s="232">
        <f t="shared" si="0"/>
        <v>0</v>
      </c>
      <c r="K50" s="233"/>
    </row>
    <row r="51" spans="1:11" ht="15.75" thickBot="1" x14ac:dyDescent="0.3">
      <c r="A51" s="234"/>
      <c r="B51" s="235" t="s">
        <v>447</v>
      </c>
      <c r="C51" s="236">
        <f>SUM(C2:C50)</f>
        <v>4004490</v>
      </c>
      <c r="D51" s="236">
        <f>SUM(D2:D50)</f>
        <v>2249683</v>
      </c>
      <c r="E51" s="236">
        <f>SUM(E2:E50)</f>
        <v>1279544</v>
      </c>
      <c r="F51" s="236">
        <f t="shared" ref="F51:I51" si="1">SUM(F2:F50)</f>
        <v>479240</v>
      </c>
      <c r="G51" s="236">
        <f t="shared" si="1"/>
        <v>242070</v>
      </c>
      <c r="H51" s="236">
        <f t="shared" si="1"/>
        <v>548630</v>
      </c>
      <c r="I51" s="237">
        <f t="shared" si="1"/>
        <v>0</v>
      </c>
      <c r="J51" s="236">
        <f t="shared" si="0"/>
        <v>8803657</v>
      </c>
      <c r="K51" s="239"/>
    </row>
    <row r="52" spans="1:11" ht="15" x14ac:dyDescent="0.25">
      <c r="A52" s="218" t="s">
        <v>448</v>
      </c>
      <c r="B52" s="95"/>
      <c r="C52" s="240">
        <v>0</v>
      </c>
      <c r="D52" s="240">
        <v>0</v>
      </c>
      <c r="E52" s="240">
        <v>267714</v>
      </c>
      <c r="F52" s="240"/>
      <c r="G52" s="240">
        <v>0</v>
      </c>
      <c r="H52" s="240">
        <v>342083</v>
      </c>
      <c r="I52" s="241">
        <v>0</v>
      </c>
      <c r="J52" s="144">
        <f t="shared" si="0"/>
        <v>609797</v>
      </c>
      <c r="K52" s="112"/>
    </row>
    <row r="53" spans="1:11" ht="15.75" thickBot="1" x14ac:dyDescent="0.3">
      <c r="A53" s="243" t="s">
        <v>698</v>
      </c>
      <c r="B53" s="244"/>
      <c r="C53" s="207">
        <v>0</v>
      </c>
      <c r="D53" s="207">
        <v>0</v>
      </c>
      <c r="E53" s="207">
        <v>0</v>
      </c>
      <c r="F53" s="207">
        <v>152456</v>
      </c>
      <c r="G53" s="207">
        <v>0</v>
      </c>
      <c r="H53" s="207">
        <v>0</v>
      </c>
      <c r="I53" s="208">
        <v>0</v>
      </c>
      <c r="J53" s="209">
        <f t="shared" si="0"/>
        <v>152456</v>
      </c>
      <c r="K53" s="233"/>
    </row>
    <row r="54" spans="1:11" ht="20.25" customHeight="1" thickBot="1" x14ac:dyDescent="0.3">
      <c r="A54" s="245" t="s">
        <v>454</v>
      </c>
      <c r="B54" s="246"/>
      <c r="C54" s="247">
        <f>SUM(C51:C53)</f>
        <v>4004490</v>
      </c>
      <c r="D54" s="247">
        <f t="shared" ref="D54:H54" si="2">SUM(D51:D53)</f>
        <v>2249683</v>
      </c>
      <c r="E54" s="247">
        <f t="shared" si="2"/>
        <v>1547258</v>
      </c>
      <c r="F54" s="247">
        <f t="shared" si="2"/>
        <v>631696</v>
      </c>
      <c r="G54" s="247">
        <f t="shared" si="2"/>
        <v>242070</v>
      </c>
      <c r="H54" s="247">
        <f t="shared" si="2"/>
        <v>890713</v>
      </c>
      <c r="I54" s="248">
        <f>SUM(I51:I53)</f>
        <v>0</v>
      </c>
      <c r="J54" s="236">
        <f>SUM(C54:I54)</f>
        <v>9565910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x14ac:dyDescent="0.25">
      <c r="A56" s="116"/>
      <c r="B56" s="95" t="s">
        <v>179</v>
      </c>
      <c r="C56" s="89">
        <v>39475</v>
      </c>
      <c r="D56" s="89">
        <v>4055</v>
      </c>
      <c r="E56" s="89">
        <v>20064</v>
      </c>
      <c r="F56" s="89">
        <v>0</v>
      </c>
      <c r="G56" s="89">
        <v>0</v>
      </c>
      <c r="H56" s="89">
        <v>0</v>
      </c>
      <c r="I56" s="214">
        <v>0</v>
      </c>
      <c r="J56" s="89">
        <f t="shared" si="0"/>
        <v>63594</v>
      </c>
      <c r="K56" s="249"/>
    </row>
    <row r="57" spans="1:11" ht="15" hidden="1" x14ac:dyDescent="0.25">
      <c r="A57" s="116"/>
      <c r="B57" s="95" t="s">
        <v>145</v>
      </c>
      <c r="C57" s="89"/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214">
        <v>0</v>
      </c>
      <c r="J57" s="89">
        <f t="shared" si="0"/>
        <v>0</v>
      </c>
      <c r="K57" s="249"/>
    </row>
    <row r="58" spans="1:11" ht="15" hidden="1" x14ac:dyDescent="0.25">
      <c r="A58" s="116"/>
      <c r="B58" s="95" t="s">
        <v>180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214">
        <v>0</v>
      </c>
      <c r="J58" s="89">
        <f t="shared" si="0"/>
        <v>0</v>
      </c>
      <c r="K58" s="249"/>
    </row>
    <row r="59" spans="1:11" ht="15" hidden="1" x14ac:dyDescent="0.25">
      <c r="A59" s="116"/>
      <c r="B59" s="95" t="s">
        <v>181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214">
        <v>0</v>
      </c>
      <c r="J59" s="89">
        <f t="shared" si="0"/>
        <v>0</v>
      </c>
      <c r="K59" s="249"/>
    </row>
    <row r="60" spans="1:11" ht="15" x14ac:dyDescent="0.25">
      <c r="A60" s="116"/>
      <c r="B60" s="95" t="s">
        <v>182</v>
      </c>
      <c r="C60" s="89">
        <v>0</v>
      </c>
      <c r="D60" s="89">
        <v>0</v>
      </c>
      <c r="E60" s="89">
        <v>29191</v>
      </c>
      <c r="F60" s="89">
        <v>0</v>
      </c>
      <c r="G60" s="89">
        <v>0</v>
      </c>
      <c r="H60" s="89">
        <v>0</v>
      </c>
      <c r="I60" s="214">
        <v>0</v>
      </c>
      <c r="J60" s="89">
        <f t="shared" si="0"/>
        <v>29191</v>
      </c>
      <c r="K60" s="249"/>
    </row>
    <row r="61" spans="1:11" ht="15" hidden="1" x14ac:dyDescent="0.25">
      <c r="A61" s="251"/>
      <c r="B61" s="100" t="s">
        <v>183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214">
        <v>0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184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214">
        <v>0</v>
      </c>
      <c r="J62" s="89">
        <f t="shared" si="0"/>
        <v>0</v>
      </c>
      <c r="K62" s="249"/>
    </row>
    <row r="63" spans="1:11" ht="15" hidden="1" x14ac:dyDescent="0.25">
      <c r="A63" s="251"/>
      <c r="B63" s="100" t="s">
        <v>185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214">
        <v>0</v>
      </c>
      <c r="J63" s="89">
        <f t="shared" si="0"/>
        <v>0</v>
      </c>
      <c r="K63" s="249"/>
    </row>
    <row r="64" spans="1:11" ht="15" hidden="1" x14ac:dyDescent="0.25">
      <c r="A64" s="251"/>
      <c r="B64" s="100" t="s">
        <v>186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214">
        <v>0</v>
      </c>
      <c r="J64" s="89">
        <f t="shared" si="0"/>
        <v>0</v>
      </c>
      <c r="K64" s="249"/>
    </row>
    <row r="65" spans="1:11" ht="15" x14ac:dyDescent="0.25">
      <c r="A65" s="251"/>
      <c r="B65" s="100" t="s">
        <v>187</v>
      </c>
      <c r="C65" s="89">
        <v>0</v>
      </c>
      <c r="D65" s="89">
        <v>0</v>
      </c>
      <c r="E65" s="89">
        <v>219884</v>
      </c>
      <c r="F65" s="89">
        <v>0</v>
      </c>
      <c r="G65" s="89">
        <v>0</v>
      </c>
      <c r="H65" s="89">
        <v>1026418</v>
      </c>
      <c r="I65" s="214">
        <v>0</v>
      </c>
      <c r="J65" s="89">
        <f t="shared" si="0"/>
        <v>1246302</v>
      </c>
      <c r="K65" s="249"/>
    </row>
    <row r="66" spans="1:11" ht="15" hidden="1" x14ac:dyDescent="0.25">
      <c r="A66" s="251"/>
      <c r="B66" s="100" t="s">
        <v>188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214">
        <v>0</v>
      </c>
      <c r="J66" s="89">
        <f t="shared" si="0"/>
        <v>0</v>
      </c>
      <c r="K66" s="249"/>
    </row>
    <row r="67" spans="1:11" ht="15" hidden="1" x14ac:dyDescent="0.25">
      <c r="A67" s="251"/>
      <c r="B67" s="100" t="s">
        <v>189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214">
        <v>0</v>
      </c>
      <c r="J67" s="89">
        <f t="shared" si="0"/>
        <v>0</v>
      </c>
      <c r="K67" s="249"/>
    </row>
    <row r="68" spans="1:11" ht="15" hidden="1" x14ac:dyDescent="0.25">
      <c r="A68" s="116"/>
      <c r="B68" s="95" t="s">
        <v>190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214">
        <v>0</v>
      </c>
      <c r="J68" s="89">
        <f t="shared" ref="J68:J131" si="3">SUM(C68:I68)</f>
        <v>0</v>
      </c>
      <c r="K68" s="249"/>
    </row>
    <row r="69" spans="1:11" ht="15" x14ac:dyDescent="0.25">
      <c r="A69" s="116"/>
      <c r="B69" s="95" t="s">
        <v>191</v>
      </c>
      <c r="C69" s="89">
        <v>114482</v>
      </c>
      <c r="D69" s="89">
        <v>57233</v>
      </c>
      <c r="E69" s="89">
        <v>0</v>
      </c>
      <c r="F69" s="89">
        <v>0</v>
      </c>
      <c r="G69" s="89">
        <v>0</v>
      </c>
      <c r="H69" s="89">
        <v>0</v>
      </c>
      <c r="I69" s="214">
        <v>0</v>
      </c>
      <c r="J69" s="89">
        <f t="shared" si="3"/>
        <v>171715</v>
      </c>
      <c r="K69" s="249"/>
    </row>
    <row r="70" spans="1:11" ht="15" hidden="1" x14ac:dyDescent="0.25">
      <c r="A70" s="116"/>
      <c r="B70" s="95" t="s">
        <v>192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214">
        <v>0</v>
      </c>
      <c r="J70" s="89">
        <f t="shared" si="3"/>
        <v>0</v>
      </c>
      <c r="K70" s="249"/>
    </row>
    <row r="71" spans="1:11" ht="15" hidden="1" x14ac:dyDescent="0.25">
      <c r="A71" s="116"/>
      <c r="B71" s="95" t="s">
        <v>193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214">
        <v>0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198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214">
        <v>0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200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201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214">
        <v>0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202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214">
        <v>0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203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214">
        <v>0</v>
      </c>
      <c r="J81" s="89">
        <f t="shared" si="3"/>
        <v>0</v>
      </c>
      <c r="K81" s="249"/>
    </row>
    <row r="82" spans="1:12" ht="15" x14ac:dyDescent="0.25">
      <c r="A82" s="116"/>
      <c r="B82" s="95" t="s">
        <v>204</v>
      </c>
      <c r="C82" s="89">
        <v>213350</v>
      </c>
      <c r="D82" s="89">
        <v>106877</v>
      </c>
      <c r="E82" s="89">
        <v>668406</v>
      </c>
      <c r="F82" s="89">
        <v>0</v>
      </c>
      <c r="G82" s="89">
        <v>0</v>
      </c>
      <c r="H82" s="89">
        <v>0</v>
      </c>
      <c r="I82" s="214">
        <v>0</v>
      </c>
      <c r="J82" s="89">
        <f t="shared" si="3"/>
        <v>988633</v>
      </c>
      <c r="K82" s="249"/>
    </row>
    <row r="83" spans="1:12" ht="15" hidden="1" x14ac:dyDescent="0.25">
      <c r="A83" s="116"/>
      <c r="B83" s="95" t="s">
        <v>205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214">
        <v>0</v>
      </c>
      <c r="J83" s="89">
        <f t="shared" si="3"/>
        <v>0</v>
      </c>
      <c r="K83" s="249"/>
    </row>
    <row r="84" spans="1:12" hidden="1" x14ac:dyDescent="0.2">
      <c r="A84" s="116"/>
      <c r="B84" s="95" t="s">
        <v>206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214">
        <v>0</v>
      </c>
      <c r="J84" s="89">
        <f t="shared" si="3"/>
        <v>0</v>
      </c>
      <c r="K84" s="252"/>
    </row>
    <row r="85" spans="1:12" hidden="1" x14ac:dyDescent="0.2">
      <c r="A85" s="116"/>
      <c r="B85" s="95" t="s">
        <v>207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214">
        <v>0</v>
      </c>
      <c r="J85" s="89">
        <f t="shared" si="3"/>
        <v>0</v>
      </c>
      <c r="K85" s="252"/>
    </row>
    <row r="86" spans="1:12" ht="15" hidden="1" x14ac:dyDescent="0.25">
      <c r="A86" s="116"/>
      <c r="B86" s="95" t="s">
        <v>208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214">
        <v>0</v>
      </c>
      <c r="J86" s="89">
        <f t="shared" si="3"/>
        <v>0</v>
      </c>
      <c r="K86" s="249"/>
    </row>
    <row r="87" spans="1:12" ht="15" hidden="1" x14ac:dyDescent="0.25">
      <c r="A87" s="116"/>
      <c r="B87" s="95" t="s">
        <v>209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214">
        <v>0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210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214">
        <v>0</v>
      </c>
      <c r="J88" s="89">
        <f t="shared" si="3"/>
        <v>0</v>
      </c>
      <c r="K88" s="249"/>
      <c r="L88" s="77"/>
    </row>
    <row r="89" spans="1:12" ht="15" hidden="1" x14ac:dyDescent="0.25">
      <c r="A89" s="116"/>
      <c r="B89" s="95" t="s">
        <v>211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214">
        <v>0</v>
      </c>
      <c r="J89" s="89">
        <f t="shared" si="3"/>
        <v>0</v>
      </c>
      <c r="K89" s="249"/>
      <c r="L89" s="77"/>
    </row>
    <row r="90" spans="1:12" ht="15" hidden="1" x14ac:dyDescent="0.25">
      <c r="A90" s="116"/>
      <c r="B90" s="95" t="s">
        <v>212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214">
        <v>0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213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214">
        <v>0</v>
      </c>
      <c r="J91" s="89">
        <f t="shared" si="3"/>
        <v>0</v>
      </c>
      <c r="K91" s="249"/>
      <c r="L91" s="77"/>
    </row>
    <row r="92" spans="1:12" hidden="1" x14ac:dyDescent="0.2">
      <c r="A92" s="116"/>
      <c r="B92" s="95" t="s">
        <v>214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214">
        <v>0</v>
      </c>
      <c r="J92" s="89">
        <f t="shared" si="3"/>
        <v>0</v>
      </c>
      <c r="K92" s="252"/>
    </row>
    <row r="93" spans="1:12" hidden="1" x14ac:dyDescent="0.2">
      <c r="A93" s="116"/>
      <c r="B93" s="95" t="s">
        <v>215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214">
        <v>0</v>
      </c>
      <c r="J93" s="89">
        <f t="shared" si="3"/>
        <v>0</v>
      </c>
      <c r="K93" s="252"/>
    </row>
    <row r="94" spans="1:12" hidden="1" x14ac:dyDescent="0.2">
      <c r="A94" s="116"/>
      <c r="B94" s="95" t="s">
        <v>216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214">
        <v>0</v>
      </c>
      <c r="J94" s="89">
        <f t="shared" si="3"/>
        <v>0</v>
      </c>
      <c r="K94" s="252"/>
    </row>
    <row r="95" spans="1:12" hidden="1" x14ac:dyDescent="0.2">
      <c r="A95" s="116"/>
      <c r="B95" s="95" t="s">
        <v>217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214">
        <v>0</v>
      </c>
      <c r="J95" s="89">
        <f t="shared" si="3"/>
        <v>0</v>
      </c>
      <c r="K95" s="252"/>
    </row>
    <row r="96" spans="1:12" hidden="1" x14ac:dyDescent="0.2">
      <c r="A96" s="116"/>
      <c r="B96" s="95" t="s">
        <v>218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214">
        <v>0</v>
      </c>
      <c r="J96" s="89">
        <f t="shared" si="3"/>
        <v>0</v>
      </c>
      <c r="K96" s="252"/>
    </row>
    <row r="97" spans="1:11" hidden="1" x14ac:dyDescent="0.2">
      <c r="A97" s="116"/>
      <c r="B97" s="95" t="s">
        <v>219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214">
        <v>0</v>
      </c>
      <c r="J97" s="89">
        <f t="shared" si="3"/>
        <v>0</v>
      </c>
      <c r="K97" s="252"/>
    </row>
    <row r="98" spans="1:11" ht="15" hidden="1" x14ac:dyDescent="0.25">
      <c r="A98" s="251"/>
      <c r="B98" s="100" t="s">
        <v>220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214">
        <v>0</v>
      </c>
      <c r="J98" s="89">
        <f t="shared" si="3"/>
        <v>0</v>
      </c>
      <c r="K98" s="249"/>
    </row>
    <row r="99" spans="1:11" ht="15" hidden="1" x14ac:dyDescent="0.25">
      <c r="A99" s="251"/>
      <c r="B99" s="100" t="s">
        <v>221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214">
        <v>0</v>
      </c>
      <c r="J99" s="89">
        <f t="shared" si="3"/>
        <v>0</v>
      </c>
      <c r="K99" s="249"/>
    </row>
    <row r="100" spans="1:11" hidden="1" x14ac:dyDescent="0.2">
      <c r="A100" s="210" t="s">
        <v>10</v>
      </c>
      <c r="B100" s="211" t="s">
        <v>142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214">
        <v>0</v>
      </c>
      <c r="J100" s="89">
        <f t="shared" si="3"/>
        <v>0</v>
      </c>
      <c r="K100" s="255"/>
    </row>
    <row r="101" spans="1:11" hidden="1" x14ac:dyDescent="0.2">
      <c r="A101" s="210" t="s">
        <v>10</v>
      </c>
      <c r="B101" s="211" t="s">
        <v>141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33</v>
      </c>
      <c r="B102" s="211" t="s">
        <v>222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hidden="1" x14ac:dyDescent="0.2">
      <c r="A103" s="210" t="s">
        <v>10</v>
      </c>
      <c r="B103" s="211" t="s">
        <v>138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0</v>
      </c>
      <c r="J103" s="89">
        <f t="shared" si="3"/>
        <v>0</v>
      </c>
      <c r="K103" s="255"/>
    </row>
    <row r="104" spans="1:11" hidden="1" x14ac:dyDescent="0.2">
      <c r="A104" s="210" t="s">
        <v>10</v>
      </c>
      <c r="B104" s="211" t="s">
        <v>136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214">
        <v>0</v>
      </c>
      <c r="J104" s="89">
        <f t="shared" si="3"/>
        <v>0</v>
      </c>
      <c r="K104" s="255"/>
    </row>
    <row r="105" spans="1:11" hidden="1" x14ac:dyDescent="0.2">
      <c r="A105" s="257"/>
      <c r="B105" s="95" t="s">
        <v>223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252"/>
    </row>
    <row r="106" spans="1:11" hidden="1" x14ac:dyDescent="0.2">
      <c r="A106" s="257"/>
      <c r="B106" s="95" t="s">
        <v>224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252"/>
    </row>
    <row r="107" spans="1:11" hidden="1" x14ac:dyDescent="0.2">
      <c r="A107" s="257"/>
      <c r="B107" s="95" t="s">
        <v>225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214">
        <v>0</v>
      </c>
      <c r="J107" s="89">
        <f t="shared" si="3"/>
        <v>0</v>
      </c>
      <c r="K107" s="252"/>
    </row>
    <row r="108" spans="1:11" hidden="1" x14ac:dyDescent="0.2">
      <c r="A108" s="257"/>
      <c r="B108" s="95" t="s">
        <v>226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252"/>
    </row>
    <row r="109" spans="1:11" ht="15" hidden="1" x14ac:dyDescent="0.25">
      <c r="A109" s="116"/>
      <c r="B109" s="95" t="s">
        <v>227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0</v>
      </c>
      <c r="J109" s="89">
        <f t="shared" si="3"/>
        <v>0</v>
      </c>
      <c r="K109" s="249"/>
    </row>
    <row r="110" spans="1:11" ht="15" x14ac:dyDescent="0.25">
      <c r="A110" s="116"/>
      <c r="B110" s="95" t="s">
        <v>228</v>
      </c>
      <c r="C110" s="89">
        <v>0</v>
      </c>
      <c r="D110" s="89">
        <v>27579</v>
      </c>
      <c r="E110" s="89">
        <v>0</v>
      </c>
      <c r="F110" s="89">
        <v>0</v>
      </c>
      <c r="G110" s="89">
        <v>0</v>
      </c>
      <c r="H110" s="89">
        <v>79028</v>
      </c>
      <c r="I110" s="214">
        <v>0</v>
      </c>
      <c r="J110" s="89">
        <f t="shared" si="3"/>
        <v>106607</v>
      </c>
      <c r="K110" s="249"/>
    </row>
    <row r="111" spans="1:11" ht="15" x14ac:dyDescent="0.25">
      <c r="A111" s="116"/>
      <c r="B111" s="95" t="s">
        <v>229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43561</v>
      </c>
      <c r="I111" s="214">
        <v>0</v>
      </c>
      <c r="J111" s="89">
        <f t="shared" si="3"/>
        <v>43561</v>
      </c>
      <c r="K111" s="249"/>
    </row>
    <row r="112" spans="1:11" ht="15" hidden="1" x14ac:dyDescent="0.25">
      <c r="A112" s="116"/>
      <c r="B112" s="95" t="s">
        <v>230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231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232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0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233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234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49"/>
    </row>
    <row r="117" spans="1:11" ht="15" x14ac:dyDescent="0.25">
      <c r="A117" s="116"/>
      <c r="B117" s="95" t="s">
        <v>9</v>
      </c>
      <c r="C117" s="89">
        <v>457058</v>
      </c>
      <c r="D117" s="89">
        <v>249960</v>
      </c>
      <c r="E117" s="89">
        <v>116012</v>
      </c>
      <c r="F117" s="89">
        <v>0</v>
      </c>
      <c r="G117" s="89">
        <v>0</v>
      </c>
      <c r="H117" s="89">
        <v>26992</v>
      </c>
      <c r="I117" s="214">
        <v>0</v>
      </c>
      <c r="J117" s="89">
        <f t="shared" si="3"/>
        <v>850022</v>
      </c>
      <c r="K117" s="249"/>
    </row>
    <row r="118" spans="1:11" ht="15" hidden="1" x14ac:dyDescent="0.25">
      <c r="A118" s="116"/>
      <c r="B118" s="95" t="s">
        <v>235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214">
        <v>0</v>
      </c>
      <c r="J118" s="89">
        <f t="shared" si="3"/>
        <v>0</v>
      </c>
      <c r="K118" s="249"/>
    </row>
    <row r="119" spans="1:11" ht="15" x14ac:dyDescent="0.25">
      <c r="A119" s="116"/>
      <c r="B119" s="95" t="s">
        <v>236</v>
      </c>
      <c r="C119" s="89">
        <v>210172</v>
      </c>
      <c r="D119" s="89">
        <v>101180</v>
      </c>
      <c r="E119" s="89">
        <v>740551</v>
      </c>
      <c r="F119" s="89">
        <v>0</v>
      </c>
      <c r="G119" s="89">
        <v>0</v>
      </c>
      <c r="H119" s="89">
        <v>0</v>
      </c>
      <c r="I119" s="214">
        <v>0</v>
      </c>
      <c r="J119" s="89">
        <f t="shared" si="3"/>
        <v>1051903</v>
      </c>
      <c r="K119" s="249"/>
    </row>
    <row r="120" spans="1:11" ht="15" hidden="1" x14ac:dyDescent="0.25">
      <c r="A120" s="116"/>
      <c r="B120" s="95" t="s">
        <v>237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214">
        <v>0</v>
      </c>
      <c r="J120" s="89">
        <f t="shared" si="3"/>
        <v>0</v>
      </c>
      <c r="K120" s="249"/>
    </row>
    <row r="121" spans="1:11" ht="15" hidden="1" x14ac:dyDescent="0.25">
      <c r="A121" s="116"/>
      <c r="B121" s="95" t="s">
        <v>238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214">
        <v>0</v>
      </c>
      <c r="J121" s="89">
        <f t="shared" si="3"/>
        <v>0</v>
      </c>
      <c r="K121" s="249"/>
    </row>
    <row r="122" spans="1:11" ht="15" hidden="1" x14ac:dyDescent="0.25">
      <c r="A122" s="251"/>
      <c r="B122" s="100" t="s">
        <v>239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251"/>
      <c r="B123" s="100" t="s">
        <v>240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0</v>
      </c>
      <c r="J123" s="89">
        <f t="shared" si="3"/>
        <v>0</v>
      </c>
      <c r="K123" s="249"/>
    </row>
    <row r="124" spans="1:11" ht="15" hidden="1" x14ac:dyDescent="0.25">
      <c r="A124" s="251"/>
      <c r="B124" s="100" t="s">
        <v>241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8"/>
      <c r="B125" s="244" t="s">
        <v>242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243</v>
      </c>
      <c r="C126" s="89">
        <v>0</v>
      </c>
      <c r="D126" s="89"/>
      <c r="E126" s="89">
        <v>0</v>
      </c>
      <c r="F126" s="89">
        <v>0</v>
      </c>
      <c r="G126" s="89">
        <v>0</v>
      </c>
      <c r="H126" s="89"/>
      <c r="I126" s="214">
        <v>0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244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x14ac:dyDescent="0.25">
      <c r="A128" s="260" t="s">
        <v>245</v>
      </c>
      <c r="B128" s="317"/>
      <c r="C128" s="89"/>
      <c r="D128" s="89"/>
      <c r="E128" s="89"/>
      <c r="F128" s="89"/>
      <c r="G128" s="89"/>
      <c r="H128" s="89"/>
      <c r="I128" s="214"/>
      <c r="J128" s="89"/>
      <c r="K128" s="249"/>
    </row>
    <row r="129" spans="1:11" ht="15" hidden="1" x14ac:dyDescent="0.25">
      <c r="A129" s="116"/>
      <c r="B129" s="95" t="s">
        <v>246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214">
        <v>0</v>
      </c>
      <c r="J129" s="89">
        <f t="shared" si="3"/>
        <v>0</v>
      </c>
      <c r="K129" s="249"/>
    </row>
    <row r="130" spans="1:11" x14ac:dyDescent="0.2">
      <c r="A130" s="251"/>
      <c r="B130" s="100" t="s">
        <v>247</v>
      </c>
      <c r="C130" s="89">
        <v>100909</v>
      </c>
      <c r="D130" s="89">
        <v>57104</v>
      </c>
      <c r="E130" s="89">
        <v>214547</v>
      </c>
      <c r="F130" s="89">
        <v>0</v>
      </c>
      <c r="G130" s="89">
        <v>0</v>
      </c>
      <c r="H130" s="89">
        <v>25535</v>
      </c>
      <c r="I130" s="214">
        <v>0</v>
      </c>
      <c r="J130" s="89">
        <f t="shared" si="3"/>
        <v>398095</v>
      </c>
      <c r="K130" s="252"/>
    </row>
    <row r="131" spans="1:11" hidden="1" x14ac:dyDescent="0.2">
      <c r="A131" s="116"/>
      <c r="B131" s="95" t="s">
        <v>248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249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ref="J132:J147" si="4">SUM(C132:I132)</f>
        <v>0</v>
      </c>
      <c r="K132" s="252"/>
    </row>
    <row r="133" spans="1:11" hidden="1" x14ac:dyDescent="0.2">
      <c r="A133" s="116"/>
      <c r="B133" s="95" t="s">
        <v>250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214">
        <v>0</v>
      </c>
      <c r="J133" s="89">
        <f t="shared" si="4"/>
        <v>0</v>
      </c>
      <c r="K133" s="92"/>
    </row>
    <row r="134" spans="1:11" hidden="1" x14ac:dyDescent="0.2">
      <c r="A134" s="116"/>
      <c r="B134" s="95" t="s">
        <v>251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252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253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254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255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256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257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hidden="1" x14ac:dyDescent="0.2">
      <c r="A141" s="116"/>
      <c r="B141" s="95" t="s">
        <v>258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0</v>
      </c>
      <c r="J141" s="89">
        <f t="shared" si="4"/>
        <v>0</v>
      </c>
      <c r="K141" s="92"/>
    </row>
    <row r="142" spans="1:11" x14ac:dyDescent="0.2">
      <c r="A142" s="116"/>
      <c r="B142" s="95" t="s">
        <v>259</v>
      </c>
      <c r="C142" s="89">
        <v>0</v>
      </c>
      <c r="D142" s="89">
        <v>12000</v>
      </c>
      <c r="E142" s="89">
        <v>0</v>
      </c>
      <c r="F142" s="89">
        <v>0</v>
      </c>
      <c r="G142" s="89">
        <v>0</v>
      </c>
      <c r="H142" s="89">
        <v>10064</v>
      </c>
      <c r="I142" s="214">
        <v>0</v>
      </c>
      <c r="J142" s="89">
        <f t="shared" si="4"/>
        <v>22064</v>
      </c>
      <c r="K142" s="92"/>
    </row>
    <row r="143" spans="1:11" hidden="1" x14ac:dyDescent="0.2">
      <c r="A143" s="116"/>
      <c r="B143" s="95" t="s">
        <v>260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214">
        <v>0</v>
      </c>
      <c r="J143" s="89">
        <f t="shared" si="4"/>
        <v>0</v>
      </c>
      <c r="K143" s="92"/>
    </row>
    <row r="144" spans="1:11" ht="15.75" thickBot="1" x14ac:dyDescent="0.3">
      <c r="A144" s="261" t="s">
        <v>456</v>
      </c>
      <c r="B144" s="262"/>
      <c r="C144" s="263">
        <f t="shared" ref="C144:I144" si="5">SUM(C55:C143)</f>
        <v>1135446</v>
      </c>
      <c r="D144" s="263">
        <f t="shared" si="5"/>
        <v>615988</v>
      </c>
      <c r="E144" s="263">
        <f t="shared" si="5"/>
        <v>2008655</v>
      </c>
      <c r="F144" s="263">
        <f t="shared" si="5"/>
        <v>0</v>
      </c>
      <c r="G144" s="263">
        <f t="shared" si="5"/>
        <v>0</v>
      </c>
      <c r="H144" s="263">
        <f t="shared" si="5"/>
        <v>1211598</v>
      </c>
      <c r="I144" s="264">
        <f t="shared" si="5"/>
        <v>0</v>
      </c>
      <c r="J144" s="265">
        <f t="shared" si="4"/>
        <v>4971687</v>
      </c>
      <c r="K144" s="266"/>
    </row>
    <row r="145" spans="1:10" ht="18.75" customHeight="1" thickBot="1" x14ac:dyDescent="0.3">
      <c r="A145" s="245" t="s">
        <v>457</v>
      </c>
      <c r="B145" s="246"/>
      <c r="C145" s="247">
        <f t="shared" ref="C145:I145" si="6">C54+C144</f>
        <v>5139936</v>
      </c>
      <c r="D145" s="247">
        <f t="shared" si="6"/>
        <v>2865671</v>
      </c>
      <c r="E145" s="247">
        <f t="shared" si="6"/>
        <v>3555913</v>
      </c>
      <c r="F145" s="247">
        <f t="shared" si="6"/>
        <v>631696</v>
      </c>
      <c r="G145" s="247">
        <f t="shared" si="6"/>
        <v>242070</v>
      </c>
      <c r="H145" s="247">
        <f t="shared" si="6"/>
        <v>2102311</v>
      </c>
      <c r="I145" s="248">
        <f t="shared" si="6"/>
        <v>0</v>
      </c>
      <c r="J145" s="236">
        <f t="shared" si="4"/>
        <v>14537597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0</v>
      </c>
      <c r="F146" s="269">
        <v>-631696</v>
      </c>
      <c r="G146" s="269">
        <v>0</v>
      </c>
      <c r="H146" s="269">
        <v>0</v>
      </c>
      <c r="I146" s="270">
        <v>0</v>
      </c>
      <c r="J146" s="144">
        <f t="shared" si="4"/>
        <v>-631696</v>
      </c>
    </row>
    <row r="147" spans="1:10" ht="21.75" customHeight="1" thickBot="1" x14ac:dyDescent="0.3">
      <c r="A147" s="271" t="s">
        <v>459</v>
      </c>
      <c r="B147" s="103"/>
      <c r="C147" s="272">
        <f>C145+C146</f>
        <v>5139936</v>
      </c>
      <c r="D147" s="272">
        <f t="shared" ref="D147:I147" si="7">D145+D146</f>
        <v>2865671</v>
      </c>
      <c r="E147" s="272">
        <f t="shared" si="7"/>
        <v>3555913</v>
      </c>
      <c r="F147" s="272">
        <f t="shared" si="7"/>
        <v>0</v>
      </c>
      <c r="G147" s="272">
        <f t="shared" si="7"/>
        <v>242070</v>
      </c>
      <c r="H147" s="272">
        <f t="shared" si="7"/>
        <v>2102311</v>
      </c>
      <c r="I147" s="272">
        <f t="shared" si="7"/>
        <v>0</v>
      </c>
      <c r="J147" s="272">
        <f t="shared" si="4"/>
        <v>13905901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74"/>
      <c r="J148" s="274"/>
    </row>
    <row r="149" spans="1:10" x14ac:dyDescent="0.2">
      <c r="A149" s="275"/>
      <c r="B149" s="191" t="str">
        <f>'PCFP - All Revenue AA-1 R -12'!C83</f>
        <v>Mineral County School District</v>
      </c>
      <c r="C149" s="274" t="s">
        <v>428</v>
      </c>
      <c r="D149" s="274"/>
      <c r="E149" s="276"/>
      <c r="F149" s="276"/>
      <c r="G149" s="276"/>
      <c r="H149" s="274"/>
      <c r="I149" s="274"/>
      <c r="J149" s="191"/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H150" s="274"/>
      <c r="I150" s="274"/>
      <c r="J150" s="278" t="str">
        <f>"Budget Fiscal Year "&amp;TEXT('[12]Form 1'!$C$136, "mm/dd/yy")</f>
        <v>Budget Fiscal Year 2019-2020</v>
      </c>
    </row>
    <row r="151" spans="1:10" x14ac:dyDescent="0.2">
      <c r="H151" s="280"/>
      <c r="I151" s="280"/>
      <c r="J151" s="280" t="s">
        <v>461</v>
      </c>
    </row>
  </sheetData>
  <pageMargins left="0.55000000000000004" right="0" top="0.5" bottom="0.25" header="0.5" footer="0"/>
  <pageSetup scale="68" fitToHeight="3" orientation="landscape" r:id="rId1"/>
  <headerFooter alignWithMargins="0">
    <oddFooter>&amp;C&amp;8FORM 4405LGF
Last Revised 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BED49-B2B7-41BF-AE71-DDC94721BD5E}">
  <dimension ref="A2:I17"/>
  <sheetViews>
    <sheetView showGridLines="0" workbookViewId="0">
      <selection activeCell="G31" sqref="G31"/>
    </sheetView>
  </sheetViews>
  <sheetFormatPr defaultRowHeight="12.75" x14ac:dyDescent="0.2"/>
  <sheetData>
    <row r="2" spans="1:9" ht="18" x14ac:dyDescent="0.25">
      <c r="A2" s="6" t="s">
        <v>699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BE39-418A-4C18-8F27-7A6E595632A1}">
  <dimension ref="A1:G158"/>
  <sheetViews>
    <sheetView showGridLines="0" zoomScaleNormal="100" workbookViewId="0">
      <selection activeCell="C172" sqref="C172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4.28515625" style="12" bestFit="1" customWidth="1"/>
    <col min="4" max="4" width="13.5703125" style="12" bestFit="1" customWidth="1"/>
    <col min="5" max="5" width="18.5703125" bestFit="1" customWidth="1"/>
    <col min="6" max="6" width="16.710937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496" t="s">
        <v>700</v>
      </c>
      <c r="D1" s="10" t="s">
        <v>119</v>
      </c>
    </row>
    <row r="3" spans="1:5" s="15" customFormat="1" ht="38.25" x14ac:dyDescent="0.2">
      <c r="A3" s="13"/>
      <c r="B3" s="13" t="s">
        <v>120</v>
      </c>
      <c r="C3" s="14" t="s">
        <v>545</v>
      </c>
      <c r="D3" s="14" t="s">
        <v>546</v>
      </c>
      <c r="E3" s="14" t="s">
        <v>123</v>
      </c>
    </row>
    <row r="4" spans="1:5" x14ac:dyDescent="0.2">
      <c r="B4" s="3"/>
    </row>
    <row r="5" spans="1:5" x14ac:dyDescent="0.2">
      <c r="B5" s="16" t="s">
        <v>124</v>
      </c>
      <c r="C5" s="43">
        <f>'19_20 District Budget Summ-13'!T35</f>
        <v>45309343</v>
      </c>
      <c r="D5" s="43">
        <f>SUM('PCFP - All Revenue AA-1 R -13'!F33,'PCFP - All Revenue AA-1 R -13'!H33)</f>
        <v>21326223</v>
      </c>
      <c r="E5" s="44">
        <f>D5-C5</f>
        <v>-23983120</v>
      </c>
    </row>
    <row r="6" spans="1:5" x14ac:dyDescent="0.2">
      <c r="C6" s="43"/>
      <c r="D6" s="43"/>
      <c r="E6" s="44"/>
    </row>
    <row r="7" spans="1:5" x14ac:dyDescent="0.2">
      <c r="B7" s="16" t="s">
        <v>125</v>
      </c>
      <c r="C7" s="43">
        <f>'19_20 District Budget Summ-13'!T48</f>
        <v>37733145</v>
      </c>
      <c r="D7" s="43">
        <f>SUM('PCFP - All Revenue AA-1 R -13'!F49,'PCFP - All Revenue AA-1 R -13'!H49)</f>
        <v>58000133.899711177</v>
      </c>
      <c r="E7" s="44">
        <f>D7-C7</f>
        <v>20266988.899711177</v>
      </c>
    </row>
    <row r="8" spans="1:5" x14ac:dyDescent="0.2">
      <c r="C8" s="43"/>
      <c r="D8" s="43"/>
      <c r="E8" s="44"/>
    </row>
    <row r="9" spans="1:5" x14ac:dyDescent="0.2">
      <c r="B9" s="16" t="s">
        <v>126</v>
      </c>
      <c r="C9" s="43">
        <f>'19_20 District Budget Summ-13'!T62</f>
        <v>9000167</v>
      </c>
      <c r="D9" s="43">
        <f>SUM('PCFP - All Revenue AA-1 R -13'!F57,'PCFP - All Revenue AA-1 R -13'!H57)</f>
        <v>9000166.5700000003</v>
      </c>
      <c r="E9" s="44">
        <f>D9-C9</f>
        <v>-0.42999999970197678</v>
      </c>
    </row>
    <row r="10" spans="1:5" x14ac:dyDescent="0.2">
      <c r="C10" s="43"/>
      <c r="D10" s="43"/>
      <c r="E10" s="44"/>
    </row>
    <row r="11" spans="1:5" x14ac:dyDescent="0.2">
      <c r="B11" s="16" t="s">
        <v>127</v>
      </c>
      <c r="C11" s="43">
        <f>'19_20 District Budget Summ-13'!T69</f>
        <v>0</v>
      </c>
      <c r="D11" s="43">
        <f>SUM('PCFP - All Revenue AA-1 R -13'!F67,'PCFP - All Revenue AA-1 R -13'!H67)</f>
        <v>0</v>
      </c>
      <c r="E11" s="44">
        <f>D11-C11</f>
        <v>0</v>
      </c>
    </row>
    <row r="12" spans="1:5" x14ac:dyDescent="0.2">
      <c r="C12" s="43"/>
      <c r="D12" s="43"/>
      <c r="E12" s="44"/>
    </row>
    <row r="13" spans="1:5" s="2" customFormat="1" x14ac:dyDescent="0.2">
      <c r="B13" s="18" t="s">
        <v>128</v>
      </c>
      <c r="C13" s="40">
        <f t="shared" ref="C13" si="0">SUM(C5:C12)</f>
        <v>92042655</v>
      </c>
      <c r="D13" s="40">
        <f>SUM(D5:D12)</f>
        <v>88326523.469711185</v>
      </c>
      <c r="E13" s="41">
        <f>D13-C13</f>
        <v>-3716131.5302888155</v>
      </c>
    </row>
    <row r="14" spans="1:5" x14ac:dyDescent="0.2">
      <c r="C14" s="43"/>
      <c r="D14" s="43"/>
      <c r="E14" s="44"/>
    </row>
    <row r="15" spans="1:5" x14ac:dyDescent="0.2">
      <c r="B15" s="16" t="s">
        <v>129</v>
      </c>
      <c r="C15" s="43">
        <f>'19_20 District Budget Summ-13'!T80</f>
        <v>73643679</v>
      </c>
      <c r="D15" s="43">
        <f>SUM('PCFP - All Revenue AA-1 R -13'!F71,'PCFP - All Revenue AA-1 R -13'!H71)</f>
        <v>73643680</v>
      </c>
      <c r="E15" s="328">
        <f>D15-C15</f>
        <v>1</v>
      </c>
    </row>
    <row r="16" spans="1:5" x14ac:dyDescent="0.2">
      <c r="C16" s="43"/>
      <c r="D16" s="43"/>
      <c r="E16" s="44"/>
    </row>
    <row r="17" spans="1:7" x14ac:dyDescent="0.2">
      <c r="A17" s="22"/>
      <c r="B17" s="23" t="s">
        <v>306</v>
      </c>
      <c r="C17" s="47">
        <f t="shared" ref="C17" si="1">SUM(C13:C15)</f>
        <v>165686334</v>
      </c>
      <c r="D17" s="47">
        <f>SUM(D13:D15)</f>
        <v>161970203.46971118</v>
      </c>
      <c r="E17" s="497">
        <f>D17-C17</f>
        <v>-3716130.5302888155</v>
      </c>
      <c r="F17" s="26"/>
      <c r="G17" s="17"/>
    </row>
    <row r="18" spans="1:7" s="2" customFormat="1" x14ac:dyDescent="0.2">
      <c r="A18" s="27"/>
      <c r="B18" s="28" t="s">
        <v>131</v>
      </c>
      <c r="C18" s="50">
        <f>SUM(C21,C38,C67,C69)</f>
        <v>165686334</v>
      </c>
      <c r="D18" s="50">
        <f>SUM(D21,D38,D67,D69)</f>
        <v>165686334.09999999</v>
      </c>
      <c r="E18" s="51">
        <f>D18-C18</f>
        <v>9.9999994039535522E-2</v>
      </c>
    </row>
    <row r="19" spans="1:7" x14ac:dyDescent="0.2">
      <c r="A19" s="30"/>
      <c r="B19" s="286" t="s">
        <v>467</v>
      </c>
      <c r="C19" s="530">
        <f t="shared" ref="C19" si="2">C17-C18</f>
        <v>0</v>
      </c>
      <c r="D19" s="530">
        <f>D17-D18</f>
        <v>-3716130.6302888095</v>
      </c>
      <c r="E19" s="486">
        <f>D19-C19</f>
        <v>-3716130.6302888095</v>
      </c>
    </row>
    <row r="20" spans="1:7" x14ac:dyDescent="0.2">
      <c r="C20" s="43"/>
      <c r="D20" s="43"/>
      <c r="E20" s="44"/>
    </row>
    <row r="21" spans="1:7" x14ac:dyDescent="0.2">
      <c r="B21" s="2" t="s">
        <v>133</v>
      </c>
      <c r="C21" s="43">
        <f>SUM(C22:C36)</f>
        <v>41645195.25</v>
      </c>
      <c r="D21" s="43">
        <f>SUM(D22:D36)</f>
        <v>26766797</v>
      </c>
      <c r="E21" s="44"/>
    </row>
    <row r="22" spans="1:7" hidden="1" x14ac:dyDescent="0.2">
      <c r="A22" s="2">
        <v>100</v>
      </c>
      <c r="B22" t="s">
        <v>134</v>
      </c>
      <c r="C22" s="43">
        <f>'19_20 District Budget Summ-13'!T87</f>
        <v>26920700.25</v>
      </c>
      <c r="D22" s="43">
        <f>'PCFP-All Expense AA-1 Modi-13'!J3</f>
        <v>24650775</v>
      </c>
      <c r="E22" s="487"/>
    </row>
    <row r="23" spans="1:7" hidden="1" x14ac:dyDescent="0.2">
      <c r="A23" s="2">
        <v>200</v>
      </c>
      <c r="B23" t="s">
        <v>135</v>
      </c>
      <c r="C23" s="43">
        <f>'19_20 District Budget Summ-13'!T88</f>
        <v>12536254</v>
      </c>
      <c r="D23" s="43">
        <f>'PCFP-All Expense AA-1 Modi-13'!J4</f>
        <v>0</v>
      </c>
      <c r="E23" s="487"/>
    </row>
    <row r="24" spans="1:7" hidden="1" x14ac:dyDescent="0.2">
      <c r="A24" s="2" t="s">
        <v>10</v>
      </c>
      <c r="B24" t="s">
        <v>136</v>
      </c>
      <c r="C24" s="43">
        <f>'19_20 District Budget Summ-13'!T89</f>
        <v>0</v>
      </c>
      <c r="D24" s="43">
        <f>'PCFP-All Expense AA-1 Modi-13'!J5</f>
        <v>0</v>
      </c>
      <c r="E24" s="487"/>
    </row>
    <row r="25" spans="1:7" hidden="1" x14ac:dyDescent="0.2">
      <c r="A25" s="2">
        <v>270</v>
      </c>
      <c r="B25" t="s">
        <v>137</v>
      </c>
      <c r="C25" s="43">
        <f>'19_20 District Budget Summ-13'!T90</f>
        <v>0</v>
      </c>
      <c r="D25" s="43">
        <f>'PCFP-All Expense AA-1 Modi-13'!J6</f>
        <v>0</v>
      </c>
      <c r="E25" s="487"/>
    </row>
    <row r="26" spans="1:7" hidden="1" x14ac:dyDescent="0.2">
      <c r="A26" s="2" t="s">
        <v>10</v>
      </c>
      <c r="B26" t="s">
        <v>138</v>
      </c>
      <c r="C26" s="43">
        <f>'19_20 District Budget Summ-13'!T91</f>
        <v>0</v>
      </c>
      <c r="D26" s="43">
        <f>'PCFP-All Expense AA-1 Modi-13'!J7</f>
        <v>0</v>
      </c>
      <c r="E26" s="487"/>
    </row>
    <row r="27" spans="1:7" hidden="1" x14ac:dyDescent="0.2">
      <c r="A27" s="2">
        <v>300</v>
      </c>
      <c r="B27" t="s">
        <v>139</v>
      </c>
      <c r="C27" s="43">
        <f>'19_20 District Budget Summ-13'!T92</f>
        <v>952106</v>
      </c>
      <c r="D27" s="43">
        <f>'PCFP-All Expense AA-1 Modi-13'!J8</f>
        <v>879886</v>
      </c>
      <c r="E27" s="487"/>
    </row>
    <row r="28" spans="1:7" hidden="1" x14ac:dyDescent="0.2">
      <c r="A28" s="2">
        <v>400</v>
      </c>
      <c r="B28" t="s">
        <v>140</v>
      </c>
      <c r="C28" s="43">
        <f>'19_20 District Budget Summ-13'!T93</f>
        <v>149859</v>
      </c>
      <c r="D28" s="43">
        <f>'PCFP-All Expense AA-1 Modi-13'!J9</f>
        <v>149860</v>
      </c>
      <c r="E28" s="487"/>
    </row>
    <row r="29" spans="1:7" hidden="1" x14ac:dyDescent="0.2">
      <c r="A29" s="2" t="s">
        <v>10</v>
      </c>
      <c r="B29" t="s">
        <v>141</v>
      </c>
      <c r="C29" s="43">
        <f>'19_20 District Budget Summ-13'!T94</f>
        <v>0</v>
      </c>
      <c r="D29" s="43">
        <f>'PCFP-All Expense AA-1 Modi-13'!J10</f>
        <v>0</v>
      </c>
      <c r="E29" s="487"/>
    </row>
    <row r="30" spans="1:7" hidden="1" x14ac:dyDescent="0.2">
      <c r="A30" s="2" t="s">
        <v>10</v>
      </c>
      <c r="B30" t="s">
        <v>142</v>
      </c>
      <c r="C30" s="43">
        <f>'19_20 District Budget Summ-13'!T95</f>
        <v>0</v>
      </c>
      <c r="D30" s="43">
        <f>'PCFP-All Expense AA-1 Modi-13'!J11</f>
        <v>0</v>
      </c>
      <c r="E30" s="487"/>
    </row>
    <row r="31" spans="1:7" hidden="1" x14ac:dyDescent="0.2">
      <c r="A31" s="2">
        <v>440</v>
      </c>
      <c r="B31" t="s">
        <v>143</v>
      </c>
      <c r="C31" s="43">
        <f>'19_20 District Budget Summ-13'!T97</f>
        <v>0</v>
      </c>
      <c r="D31" s="43">
        <f>'PCFP-All Expense AA-1 Modi-13'!J12</f>
        <v>0</v>
      </c>
      <c r="E31" s="487"/>
    </row>
    <row r="32" spans="1:7" hidden="1" x14ac:dyDescent="0.2">
      <c r="A32" s="2">
        <v>500</v>
      </c>
      <c r="B32" t="s">
        <v>144</v>
      </c>
      <c r="C32" s="43">
        <f>'19_20 District Budget Summ-13'!T98</f>
        <v>0</v>
      </c>
      <c r="D32" s="43">
        <f>'PCFP-All Expense AA-1 Modi-13'!J13</f>
        <v>0</v>
      </c>
      <c r="E32" s="487"/>
    </row>
    <row r="33" spans="1:5" hidden="1" x14ac:dyDescent="0.2">
      <c r="A33" s="2">
        <v>600</v>
      </c>
      <c r="B33" t="s">
        <v>145</v>
      </c>
      <c r="C33" s="43">
        <f>'19_20 District Budget Summ-13'!T99</f>
        <v>0</v>
      </c>
      <c r="D33" s="43">
        <f>'PCFP-All Expense AA-1 Modi-13'!J14</f>
        <v>0</v>
      </c>
      <c r="E33" s="487"/>
    </row>
    <row r="34" spans="1:5" hidden="1" x14ac:dyDescent="0.2">
      <c r="A34" s="2">
        <v>800</v>
      </c>
      <c r="B34" t="s">
        <v>146</v>
      </c>
      <c r="C34" s="43">
        <f>'19_20 District Budget Summ-13'!T100</f>
        <v>3000</v>
      </c>
      <c r="D34" s="43">
        <f>'PCFP-All Expense AA-1 Modi-13'!J15</f>
        <v>3000</v>
      </c>
      <c r="E34" s="487"/>
    </row>
    <row r="35" spans="1:5" hidden="1" x14ac:dyDescent="0.2">
      <c r="A35" s="2">
        <v>910</v>
      </c>
      <c r="B35" t="s">
        <v>147</v>
      </c>
      <c r="C35" s="43">
        <f>'19_20 District Budget Summ-13'!T101</f>
        <v>177114</v>
      </c>
      <c r="D35" s="43">
        <f>'PCFP-All Expense AA-1 Modi-13'!J16</f>
        <v>177114</v>
      </c>
      <c r="E35" s="487"/>
    </row>
    <row r="36" spans="1:5" hidden="1" x14ac:dyDescent="0.2">
      <c r="A36" s="2">
        <v>920</v>
      </c>
      <c r="B36" t="s">
        <v>148</v>
      </c>
      <c r="C36" s="43">
        <f>'19_20 District Budget Summ-13'!T102</f>
        <v>906162</v>
      </c>
      <c r="D36" s="43">
        <f>'PCFP-All Expense AA-1 Modi-13'!J17</f>
        <v>906162</v>
      </c>
      <c r="E36" s="487"/>
    </row>
    <row r="37" spans="1:5" x14ac:dyDescent="0.2">
      <c r="C37" s="43"/>
      <c r="D37" s="43"/>
      <c r="E37" s="487"/>
    </row>
    <row r="38" spans="1:5" x14ac:dyDescent="0.2">
      <c r="A38" s="2" t="s">
        <v>149</v>
      </c>
      <c r="B38" s="2" t="s">
        <v>150</v>
      </c>
      <c r="C38" s="43">
        <f>SUM(C39:C65)</f>
        <v>108890244.75</v>
      </c>
      <c r="D38" s="43">
        <f>SUM(D39:D65)</f>
        <v>42822696</v>
      </c>
      <c r="E38" s="487"/>
    </row>
    <row r="39" spans="1:5" hidden="1" x14ac:dyDescent="0.2">
      <c r="A39" s="2">
        <v>2100</v>
      </c>
      <c r="B39" t="s">
        <v>151</v>
      </c>
      <c r="C39" s="43">
        <f>'19_20 District Budget Summ-13'!T105</f>
        <v>2051187.25</v>
      </c>
      <c r="D39" s="43">
        <f>'PCFP-All Expense AA-1 Modi-13'!J21</f>
        <v>1998926</v>
      </c>
      <c r="E39" s="487"/>
    </row>
    <row r="40" spans="1:5" hidden="1" x14ac:dyDescent="0.2">
      <c r="A40" s="2">
        <v>2200</v>
      </c>
      <c r="B40" t="s">
        <v>152</v>
      </c>
      <c r="C40" s="43">
        <f>'19_20 District Budget Summ-13'!T106</f>
        <v>1013114</v>
      </c>
      <c r="D40" s="43">
        <f>'PCFP-All Expense AA-1 Modi-13'!J22</f>
        <v>1013114</v>
      </c>
      <c r="E40" s="487"/>
    </row>
    <row r="41" spans="1:5" hidden="1" x14ac:dyDescent="0.2">
      <c r="A41" s="2">
        <v>2300</v>
      </c>
      <c r="B41" t="s">
        <v>153</v>
      </c>
      <c r="C41" s="43">
        <f>'19_20 District Budget Summ-13'!T107</f>
        <v>1601379.25</v>
      </c>
      <c r="D41" s="43">
        <f>'PCFP-All Expense AA-1 Modi-13'!J23</f>
        <v>1596379</v>
      </c>
      <c r="E41" s="487"/>
    </row>
    <row r="42" spans="1:5" hidden="1" x14ac:dyDescent="0.2">
      <c r="A42" s="2">
        <v>2400</v>
      </c>
      <c r="B42" t="s">
        <v>154</v>
      </c>
      <c r="C42" s="43">
        <f>'19_20 District Budget Summ-13'!T108</f>
        <v>4817631.25</v>
      </c>
      <c r="D42" s="43">
        <f>'PCFP-All Expense AA-1 Modi-13'!J24</f>
        <v>4816631</v>
      </c>
      <c r="E42" s="487"/>
    </row>
    <row r="43" spans="1:5" hidden="1" x14ac:dyDescent="0.2">
      <c r="A43" s="2">
        <v>2500</v>
      </c>
      <c r="B43" t="s">
        <v>155</v>
      </c>
      <c r="C43" s="43">
        <f>'19_20 District Budget Summ-13'!T109</f>
        <v>4311319.25</v>
      </c>
      <c r="D43" s="43">
        <f>'PCFP-All Expense AA-1 Modi-13'!J25</f>
        <v>3408543</v>
      </c>
      <c r="E43" s="487"/>
    </row>
    <row r="44" spans="1:5" hidden="1" x14ac:dyDescent="0.2">
      <c r="A44" s="2">
        <v>2600</v>
      </c>
      <c r="B44" t="s">
        <v>156</v>
      </c>
      <c r="C44" s="43">
        <f>'19_20 District Budget Summ-13'!T110</f>
        <v>8510133.25</v>
      </c>
      <c r="D44" s="43">
        <f>'PCFP-All Expense AA-1 Modi-13'!J26</f>
        <v>7688525</v>
      </c>
      <c r="E44" s="487"/>
    </row>
    <row r="45" spans="1:5" hidden="1" x14ac:dyDescent="0.2">
      <c r="A45" s="2">
        <v>2700</v>
      </c>
      <c r="B45" t="s">
        <v>157</v>
      </c>
      <c r="C45" s="43">
        <f>'19_20 District Budget Summ-13'!T111</f>
        <v>3681474</v>
      </c>
      <c r="D45" s="43">
        <f>'PCFP-All Expense AA-1 Modi-13'!J27</f>
        <v>3460145</v>
      </c>
      <c r="E45" s="487"/>
    </row>
    <row r="46" spans="1:5" hidden="1" x14ac:dyDescent="0.2">
      <c r="A46" s="2">
        <v>2900</v>
      </c>
      <c r="B46" t="s">
        <v>158</v>
      </c>
      <c r="C46" s="43">
        <f>'19_20 District Budget Summ-13'!T112</f>
        <v>0</v>
      </c>
      <c r="D46" s="43">
        <f>'PCFP-All Expense AA-1 Modi-13'!J28</f>
        <v>0</v>
      </c>
      <c r="E46" s="487"/>
    </row>
    <row r="47" spans="1:5" hidden="1" x14ac:dyDescent="0.2">
      <c r="A47" s="2">
        <v>3000</v>
      </c>
      <c r="B47" t="s">
        <v>159</v>
      </c>
      <c r="C47" s="43">
        <f>'19_20 District Budget Summ-13'!T113</f>
        <v>0</v>
      </c>
      <c r="D47" s="43">
        <f>'PCFP-All Expense AA-1 Modi-13'!J29</f>
        <v>0</v>
      </c>
      <c r="E47" s="487"/>
    </row>
    <row r="48" spans="1:5" hidden="1" x14ac:dyDescent="0.2">
      <c r="A48" s="2">
        <v>3100</v>
      </c>
      <c r="B48" t="s">
        <v>160</v>
      </c>
      <c r="C48" s="43">
        <f>'19_20 District Budget Summ-13'!T114</f>
        <v>4332759</v>
      </c>
      <c r="D48" s="43">
        <f>'PCFP-All Expense AA-1 Modi-13'!J30</f>
        <v>0</v>
      </c>
      <c r="E48" s="487"/>
    </row>
    <row r="49" spans="1:5" hidden="1" x14ac:dyDescent="0.2">
      <c r="A49" s="2">
        <v>3200</v>
      </c>
      <c r="B49" t="s">
        <v>161</v>
      </c>
      <c r="C49" s="43">
        <f>'19_20 District Budget Summ-13'!T115</f>
        <v>0</v>
      </c>
      <c r="D49" s="43">
        <f>'PCFP-All Expense AA-1 Modi-13'!J31</f>
        <v>0</v>
      </c>
      <c r="E49" s="487"/>
    </row>
    <row r="50" spans="1:5" hidden="1" x14ac:dyDescent="0.2">
      <c r="A50" s="2">
        <v>3300</v>
      </c>
      <c r="B50" t="s">
        <v>162</v>
      </c>
      <c r="C50" s="43">
        <f>'19_20 District Budget Summ-13'!T116</f>
        <v>0</v>
      </c>
      <c r="D50" s="43">
        <f>'PCFP-All Expense AA-1 Modi-13'!J32</f>
        <v>0</v>
      </c>
      <c r="E50" s="487"/>
    </row>
    <row r="51" spans="1:5" hidden="1" x14ac:dyDescent="0.2">
      <c r="A51" s="2">
        <v>4000</v>
      </c>
      <c r="B51" t="s">
        <v>164</v>
      </c>
      <c r="C51" s="43">
        <f>'19_20 District Budget Summ-13'!T117</f>
        <v>0</v>
      </c>
      <c r="D51" s="43">
        <f>'PCFP-All Expense AA-1 Modi-13'!J33</f>
        <v>0</v>
      </c>
      <c r="E51" s="487"/>
    </row>
    <row r="52" spans="1:5" hidden="1" x14ac:dyDescent="0.2">
      <c r="A52" s="2">
        <v>4100</v>
      </c>
      <c r="B52" t="s">
        <v>163</v>
      </c>
      <c r="C52" s="43">
        <f>'19_20 District Budget Summ-13'!T118</f>
        <v>0</v>
      </c>
      <c r="D52" s="43">
        <f>'PCFP-All Expense AA-1 Modi-13'!J34</f>
        <v>2000000</v>
      </c>
      <c r="E52" s="487"/>
    </row>
    <row r="53" spans="1:5" hidden="1" x14ac:dyDescent="0.2">
      <c r="A53" s="2">
        <v>4200</v>
      </c>
      <c r="B53" t="s">
        <v>165</v>
      </c>
      <c r="C53" s="43">
        <f>'19_20 District Budget Summ-13'!T119</f>
        <v>0</v>
      </c>
      <c r="D53" s="43">
        <f>'PCFP-All Expense AA-1 Modi-13'!J35</f>
        <v>0</v>
      </c>
      <c r="E53" s="487"/>
    </row>
    <row r="54" spans="1:5" hidden="1" x14ac:dyDescent="0.2">
      <c r="A54" s="2">
        <v>4300</v>
      </c>
      <c r="B54" t="s">
        <v>166</v>
      </c>
      <c r="C54" s="43">
        <f>'19_20 District Budget Summ-13'!T120</f>
        <v>50000</v>
      </c>
      <c r="D54" s="43">
        <f>'PCFP-All Expense AA-1 Modi-13'!J36</f>
        <v>0</v>
      </c>
      <c r="E54" s="487"/>
    </row>
    <row r="55" spans="1:5" hidden="1" x14ac:dyDescent="0.2">
      <c r="A55" s="2">
        <v>4400</v>
      </c>
      <c r="B55" t="s">
        <v>167</v>
      </c>
      <c r="C55" s="43">
        <f>'19_20 District Budget Summ-13'!T121</f>
        <v>0</v>
      </c>
      <c r="D55" s="43">
        <f>'PCFP-All Expense AA-1 Modi-13'!J37</f>
        <v>0</v>
      </c>
      <c r="E55" s="487"/>
    </row>
    <row r="56" spans="1:5" hidden="1" x14ac:dyDescent="0.2">
      <c r="A56" s="2">
        <v>4500</v>
      </c>
      <c r="B56" t="s">
        <v>168</v>
      </c>
      <c r="C56" s="43">
        <f>'19_20 District Budget Summ-13'!T122</f>
        <v>0</v>
      </c>
      <c r="D56" s="43">
        <f>'PCFP-All Expense AA-1 Modi-13'!J38</f>
        <v>0</v>
      </c>
      <c r="E56" s="487"/>
    </row>
    <row r="57" spans="1:5" hidden="1" x14ac:dyDescent="0.2">
      <c r="A57" s="2">
        <v>4600</v>
      </c>
      <c r="B57" t="s">
        <v>169</v>
      </c>
      <c r="C57" s="43">
        <f>'19_20 District Budget Summ-13'!T123</f>
        <v>2842353</v>
      </c>
      <c r="D57" s="43">
        <f>'PCFP-All Expense AA-1 Modi-13'!J39</f>
        <v>0</v>
      </c>
      <c r="E57" s="487"/>
    </row>
    <row r="58" spans="1:5" hidden="1" x14ac:dyDescent="0.2">
      <c r="A58" s="2">
        <v>4700</v>
      </c>
      <c r="B58" t="s">
        <v>170</v>
      </c>
      <c r="C58" s="43">
        <f>'19_20 District Budget Summ-13'!T124</f>
        <v>4936413</v>
      </c>
      <c r="D58" s="43">
        <f>'PCFP-All Expense AA-1 Modi-13'!J40</f>
        <v>0</v>
      </c>
      <c r="E58" s="487"/>
    </row>
    <row r="59" spans="1:5" hidden="1" x14ac:dyDescent="0.2">
      <c r="A59" s="2">
        <v>4900</v>
      </c>
      <c r="B59" t="s">
        <v>171</v>
      </c>
      <c r="C59" s="43">
        <f>'19_20 District Budget Summ-13'!T125</f>
        <v>0</v>
      </c>
      <c r="D59" s="43">
        <f>'PCFP-All Expense AA-1 Modi-13'!J41</f>
        <v>0</v>
      </c>
      <c r="E59" s="487"/>
    </row>
    <row r="60" spans="1:5" hidden="1" x14ac:dyDescent="0.2">
      <c r="A60" s="2">
        <v>5000</v>
      </c>
      <c r="B60" t="s">
        <v>172</v>
      </c>
      <c r="C60" s="43">
        <f>'19_20 District Budget Summ-13'!T126</f>
        <v>54078048</v>
      </c>
      <c r="D60" s="43">
        <f>'PCFP-All Expense AA-1 Modi-13'!J42</f>
        <v>0</v>
      </c>
      <c r="E60" s="487"/>
    </row>
    <row r="61" spans="1:5" hidden="1" x14ac:dyDescent="0.2">
      <c r="A61" s="2">
        <v>5000</v>
      </c>
      <c r="B61" t="s">
        <v>173</v>
      </c>
      <c r="C61" s="43">
        <f>'19_20 District Budget Summ-13'!T127</f>
        <v>0</v>
      </c>
      <c r="D61" s="43">
        <f>'PCFP-All Expense AA-1 Modi-13'!J43</f>
        <v>176000</v>
      </c>
      <c r="E61" s="487"/>
    </row>
    <row r="62" spans="1:5" hidden="1" x14ac:dyDescent="0.2">
      <c r="A62" s="2">
        <v>6100</v>
      </c>
      <c r="B62" t="s">
        <v>174</v>
      </c>
      <c r="C62" s="43">
        <f>'19_20 District Budget Summ-13'!T128</f>
        <v>0</v>
      </c>
      <c r="D62" s="43">
        <f>'PCFP-All Expense AA-1 Modi-13'!J44</f>
        <v>0</v>
      </c>
      <c r="E62" s="487"/>
    </row>
    <row r="63" spans="1:5" hidden="1" x14ac:dyDescent="0.2">
      <c r="A63" s="2">
        <v>6200</v>
      </c>
      <c r="B63" t="s">
        <v>175</v>
      </c>
      <c r="C63" s="43">
        <f>'19_20 District Budget Summ-13'!T129</f>
        <v>9158251.25</v>
      </c>
      <c r="D63" s="43">
        <f>'PCFP-All Expense AA-1 Modi-13'!J45</f>
        <v>9158251</v>
      </c>
      <c r="E63" s="487"/>
    </row>
    <row r="64" spans="1:5" hidden="1" x14ac:dyDescent="0.2">
      <c r="A64" s="2">
        <v>6300</v>
      </c>
      <c r="B64" t="s">
        <v>176</v>
      </c>
      <c r="C64" s="43">
        <f>'19_20 District Budget Summ-13'!T130</f>
        <v>0</v>
      </c>
      <c r="D64" s="43">
        <f>'PCFP-All Expense AA-1 Modi-13'!J46</f>
        <v>0</v>
      </c>
      <c r="E64" s="487"/>
    </row>
    <row r="65" spans="1:5" hidden="1" x14ac:dyDescent="0.2">
      <c r="A65" s="2">
        <v>8000</v>
      </c>
      <c r="B65" t="s">
        <v>177</v>
      </c>
      <c r="C65" s="43">
        <f>'19_20 District Budget Summ-13'!T131</f>
        <v>7506182.25</v>
      </c>
      <c r="D65" s="43">
        <f>'PCFP-All Expense AA-1 Modi-13'!J47</f>
        <v>7506182</v>
      </c>
      <c r="E65" s="487"/>
    </row>
    <row r="66" spans="1:5" x14ac:dyDescent="0.2">
      <c r="C66" s="43"/>
      <c r="D66" s="43"/>
      <c r="E66" s="487"/>
    </row>
    <row r="67" spans="1:5" x14ac:dyDescent="0.2">
      <c r="B67" t="str">
        <f>'PCFP-All Expense AA-1 Modi-13'!A52</f>
        <v>DEBT SERVICE</v>
      </c>
      <c r="C67" s="43">
        <v>0</v>
      </c>
      <c r="D67" s="43">
        <f>'PCFP-All Expense AA-1 Modi-13'!J52</f>
        <v>53861449</v>
      </c>
      <c r="E67" s="487"/>
    </row>
    <row r="68" spans="1:5" x14ac:dyDescent="0.2">
      <c r="C68" s="43"/>
      <c r="D68" s="43"/>
      <c r="E68" s="487"/>
    </row>
    <row r="69" spans="1:5" s="2" customFormat="1" x14ac:dyDescent="0.2">
      <c r="A69" s="53"/>
      <c r="B69" s="2" t="s">
        <v>308</v>
      </c>
      <c r="C69" s="43">
        <f>SUM(C70:C158)</f>
        <v>15150894</v>
      </c>
      <c r="D69" s="43">
        <f>SUM(D70:D158)</f>
        <v>42235392.099999994</v>
      </c>
      <c r="E69" s="487"/>
    </row>
    <row r="70" spans="1:5" hidden="1" x14ac:dyDescent="0.2">
      <c r="B70" t="s">
        <v>179</v>
      </c>
      <c r="C70" s="43">
        <f>'19_20 District Budget Summ-13'!T137</f>
        <v>0</v>
      </c>
      <c r="D70" s="43">
        <f>'PCFP-All Expense AA-1 Modi-13'!J56</f>
        <v>0</v>
      </c>
      <c r="E70" s="487"/>
    </row>
    <row r="71" spans="1:5" hidden="1" x14ac:dyDescent="0.2">
      <c r="B71" t="s">
        <v>145</v>
      </c>
      <c r="C71" s="43">
        <f>'19_20 District Budget Summ-13'!T138</f>
        <v>227971</v>
      </c>
      <c r="D71" s="43">
        <f>'PCFP-All Expense AA-1 Modi-13'!J57</f>
        <v>201469</v>
      </c>
      <c r="E71" s="487"/>
    </row>
    <row r="72" spans="1:5" hidden="1" x14ac:dyDescent="0.2">
      <c r="B72" t="s">
        <v>180</v>
      </c>
      <c r="C72" s="43">
        <f>'19_20 District Budget Summ-13'!T139</f>
        <v>0</v>
      </c>
      <c r="D72" s="43">
        <f>'PCFP-All Expense AA-1 Modi-13'!J58</f>
        <v>26502</v>
      </c>
      <c r="E72" s="487"/>
    </row>
    <row r="73" spans="1:5" hidden="1" x14ac:dyDescent="0.2">
      <c r="B73" t="s">
        <v>181</v>
      </c>
      <c r="C73" s="43">
        <f>'19_20 District Budget Summ-13'!T140</f>
        <v>0</v>
      </c>
      <c r="D73" s="43">
        <f>'PCFP-All Expense AA-1 Modi-13'!J59</f>
        <v>0</v>
      </c>
      <c r="E73" s="487"/>
    </row>
    <row r="74" spans="1:5" hidden="1" x14ac:dyDescent="0.2">
      <c r="B74" t="s">
        <v>182</v>
      </c>
      <c r="C74" s="43">
        <f>'19_20 District Budget Summ-13'!T141</f>
        <v>0</v>
      </c>
      <c r="D74" s="43">
        <f>'PCFP-All Expense AA-1 Modi-13'!J60</f>
        <v>2877722</v>
      </c>
      <c r="E74" s="487"/>
    </row>
    <row r="75" spans="1:5" hidden="1" x14ac:dyDescent="0.2">
      <c r="B75" t="s">
        <v>183</v>
      </c>
      <c r="C75" s="43">
        <f>'19_20 District Budget Summ-13'!T142</f>
        <v>0</v>
      </c>
      <c r="D75" s="43">
        <f>'PCFP-All Expense AA-1 Modi-13'!J61</f>
        <v>0</v>
      </c>
      <c r="E75" s="487"/>
    </row>
    <row r="76" spans="1:5" hidden="1" x14ac:dyDescent="0.2">
      <c r="B76" t="s">
        <v>184</v>
      </c>
      <c r="C76" s="43">
        <f>'19_20 District Budget Summ-13'!T143</f>
        <v>0</v>
      </c>
      <c r="D76" s="43">
        <f>'PCFP-All Expense AA-1 Modi-13'!J62</f>
        <v>0</v>
      </c>
      <c r="E76" s="487"/>
    </row>
    <row r="77" spans="1:5" hidden="1" x14ac:dyDescent="0.2">
      <c r="B77" t="s">
        <v>185</v>
      </c>
      <c r="C77" s="43">
        <f>'19_20 District Budget Summ-13'!T144</f>
        <v>0</v>
      </c>
      <c r="D77" s="43">
        <f>'PCFP-All Expense AA-1 Modi-13'!J63</f>
        <v>485062</v>
      </c>
      <c r="E77" s="487"/>
    </row>
    <row r="78" spans="1:5" hidden="1" x14ac:dyDescent="0.2">
      <c r="B78" t="s">
        <v>186</v>
      </c>
      <c r="C78" s="43">
        <f>'19_20 District Budget Summ-13'!T145</f>
        <v>0</v>
      </c>
      <c r="D78" s="43">
        <f>'PCFP-All Expense AA-1 Modi-13'!J64</f>
        <v>0</v>
      </c>
      <c r="E78" s="487"/>
    </row>
    <row r="79" spans="1:5" hidden="1" x14ac:dyDescent="0.2">
      <c r="B79" t="s">
        <v>187</v>
      </c>
      <c r="C79" s="43">
        <f>'19_20 District Budget Summ-13'!T146</f>
        <v>0</v>
      </c>
      <c r="D79" s="43">
        <f>'PCFP-All Expense AA-1 Modi-13'!J65</f>
        <v>0</v>
      </c>
      <c r="E79" s="487"/>
    </row>
    <row r="80" spans="1:5" hidden="1" x14ac:dyDescent="0.2">
      <c r="B80" t="s">
        <v>188</v>
      </c>
      <c r="C80" s="43">
        <f>'19_20 District Budget Summ-13'!T147</f>
        <v>0</v>
      </c>
      <c r="D80" s="43">
        <f>'PCFP-All Expense AA-1 Modi-13'!J66</f>
        <v>0</v>
      </c>
      <c r="E80" s="487"/>
    </row>
    <row r="81" spans="2:5" hidden="1" x14ac:dyDescent="0.2">
      <c r="B81" t="s">
        <v>189</v>
      </c>
      <c r="C81" s="43">
        <f>'19_20 District Budget Summ-13'!T148</f>
        <v>0</v>
      </c>
      <c r="D81" s="43">
        <f>'PCFP-All Expense AA-1 Modi-13'!J67</f>
        <v>0</v>
      </c>
      <c r="E81" s="487"/>
    </row>
    <row r="82" spans="2:5" hidden="1" x14ac:dyDescent="0.2">
      <c r="B82" t="s">
        <v>190</v>
      </c>
      <c r="C82" s="43">
        <f>'19_20 District Budget Summ-13'!T149</f>
        <v>0</v>
      </c>
      <c r="D82" s="43">
        <f>'PCFP-All Expense AA-1 Modi-13'!J68</f>
        <v>1685658</v>
      </c>
      <c r="E82" s="487"/>
    </row>
    <row r="83" spans="2:5" hidden="1" x14ac:dyDescent="0.2">
      <c r="B83" t="s">
        <v>191</v>
      </c>
      <c r="C83" s="43">
        <f>'19_20 District Budget Summ-13'!T150</f>
        <v>0</v>
      </c>
      <c r="D83" s="43">
        <f>'PCFP-All Expense AA-1 Modi-13'!J69</f>
        <v>703266</v>
      </c>
      <c r="E83" s="487"/>
    </row>
    <row r="84" spans="2:5" hidden="1" x14ac:dyDescent="0.2">
      <c r="B84" t="s">
        <v>192</v>
      </c>
      <c r="C84" s="43">
        <f>'19_20 District Budget Summ-13'!T151</f>
        <v>0</v>
      </c>
      <c r="D84" s="43">
        <f>'PCFP-All Expense AA-1 Modi-13'!J70</f>
        <v>0</v>
      </c>
      <c r="E84" s="487"/>
    </row>
    <row r="85" spans="2:5" hidden="1" x14ac:dyDescent="0.2">
      <c r="B85" t="s">
        <v>193</v>
      </c>
      <c r="C85" s="43">
        <f>'19_20 District Budget Summ-13'!T152</f>
        <v>0</v>
      </c>
      <c r="D85" s="43">
        <f>'PCFP-All Expense AA-1 Modi-13'!J71</f>
        <v>0</v>
      </c>
      <c r="E85" s="487"/>
    </row>
    <row r="86" spans="2:5" hidden="1" x14ac:dyDescent="0.2">
      <c r="B86" t="s">
        <v>194</v>
      </c>
      <c r="C86" s="43">
        <f>'19_20 District Budget Summ-13'!T153</f>
        <v>0</v>
      </c>
      <c r="D86" s="43">
        <f>'PCFP-All Expense AA-1 Modi-13'!J72</f>
        <v>0</v>
      </c>
      <c r="E86" s="487"/>
    </row>
    <row r="87" spans="2:5" hidden="1" x14ac:dyDescent="0.2">
      <c r="B87" t="s">
        <v>195</v>
      </c>
      <c r="C87" s="43">
        <f>'19_20 District Budget Summ-13'!T154</f>
        <v>0</v>
      </c>
      <c r="D87" s="43">
        <f>'PCFP-All Expense AA-1 Modi-13'!J73</f>
        <v>0</v>
      </c>
      <c r="E87" s="487"/>
    </row>
    <row r="88" spans="2:5" hidden="1" x14ac:dyDescent="0.2">
      <c r="B88" t="s">
        <v>196</v>
      </c>
      <c r="C88" s="43">
        <f>'19_20 District Budget Summ-13'!T155</f>
        <v>0</v>
      </c>
      <c r="D88" s="43">
        <f>'PCFP-All Expense AA-1 Modi-13'!J74</f>
        <v>0</v>
      </c>
      <c r="E88" s="487"/>
    </row>
    <row r="89" spans="2:5" hidden="1" x14ac:dyDescent="0.2">
      <c r="B89" t="s">
        <v>197</v>
      </c>
      <c r="C89" s="43">
        <f>'19_20 District Budget Summ-13'!T156</f>
        <v>0</v>
      </c>
      <c r="D89" s="43">
        <f>'PCFP-All Expense AA-1 Modi-13'!J75</f>
        <v>0</v>
      </c>
      <c r="E89" s="487"/>
    </row>
    <row r="90" spans="2:5" hidden="1" x14ac:dyDescent="0.2">
      <c r="B90" t="s">
        <v>198</v>
      </c>
      <c r="C90" s="43">
        <f>'19_20 District Budget Summ-13'!T157</f>
        <v>0</v>
      </c>
      <c r="D90" s="43">
        <f>'PCFP-All Expense AA-1 Modi-13'!J76</f>
        <v>0</v>
      </c>
      <c r="E90" s="487"/>
    </row>
    <row r="91" spans="2:5" hidden="1" x14ac:dyDescent="0.2">
      <c r="B91" t="s">
        <v>199</v>
      </c>
      <c r="C91" s="43">
        <f>'19_20 District Budget Summ-13'!T158</f>
        <v>0</v>
      </c>
      <c r="D91" s="43">
        <f>'PCFP-All Expense AA-1 Modi-13'!J77</f>
        <v>0</v>
      </c>
      <c r="E91" s="487"/>
    </row>
    <row r="92" spans="2:5" hidden="1" x14ac:dyDescent="0.2">
      <c r="B92" t="s">
        <v>200</v>
      </c>
      <c r="C92" s="43">
        <f>'19_20 District Budget Summ-13'!T159</f>
        <v>0</v>
      </c>
      <c r="D92" s="43">
        <f>'PCFP-All Expense AA-1 Modi-13'!J78</f>
        <v>0</v>
      </c>
      <c r="E92" s="487"/>
    </row>
    <row r="93" spans="2:5" hidden="1" x14ac:dyDescent="0.2">
      <c r="B93" t="s">
        <v>201</v>
      </c>
      <c r="C93" s="43">
        <f>'19_20 District Budget Summ-13'!T160</f>
        <v>0</v>
      </c>
      <c r="D93" s="43">
        <f>'PCFP-All Expense AA-1 Modi-13'!J79</f>
        <v>0</v>
      </c>
      <c r="E93" s="487"/>
    </row>
    <row r="94" spans="2:5" hidden="1" x14ac:dyDescent="0.2">
      <c r="B94" t="s">
        <v>202</v>
      </c>
      <c r="C94" s="43">
        <f>'19_20 District Budget Summ-13'!T161</f>
        <v>0</v>
      </c>
      <c r="D94" s="43">
        <f>'PCFP-All Expense AA-1 Modi-13'!J80</f>
        <v>0</v>
      </c>
      <c r="E94" s="487"/>
    </row>
    <row r="95" spans="2:5" hidden="1" x14ac:dyDescent="0.2">
      <c r="B95" t="s">
        <v>203</v>
      </c>
      <c r="C95" s="43">
        <f>'19_20 District Budget Summ-13'!T162</f>
        <v>0</v>
      </c>
      <c r="D95" s="43">
        <f>'PCFP-All Expense AA-1 Modi-13'!J81</f>
        <v>0</v>
      </c>
      <c r="E95" s="487"/>
    </row>
    <row r="96" spans="2:5" hidden="1" x14ac:dyDescent="0.2">
      <c r="B96" t="s">
        <v>204</v>
      </c>
      <c r="C96" s="43">
        <f>'19_20 District Budget Summ-13'!T163</f>
        <v>6097947</v>
      </c>
      <c r="D96" s="43">
        <f>'PCFP-All Expense AA-1 Modi-13'!J82</f>
        <v>7911139.4000000004</v>
      </c>
      <c r="E96" s="487"/>
    </row>
    <row r="97" spans="2:5" hidden="1" x14ac:dyDescent="0.2">
      <c r="B97" t="s">
        <v>205</v>
      </c>
      <c r="C97" s="43">
        <f>'19_20 District Budget Summ-13'!T164</f>
        <v>0</v>
      </c>
      <c r="D97" s="43">
        <f>'PCFP-All Expense AA-1 Modi-13'!J83</f>
        <v>0</v>
      </c>
      <c r="E97" s="487"/>
    </row>
    <row r="98" spans="2:5" hidden="1" x14ac:dyDescent="0.2">
      <c r="B98" t="s">
        <v>206</v>
      </c>
      <c r="C98" s="43">
        <f>'19_20 District Budget Summ-13'!T165</f>
        <v>0</v>
      </c>
      <c r="D98" s="43">
        <f>'PCFP-All Expense AA-1 Modi-13'!J84</f>
        <v>4332759</v>
      </c>
      <c r="E98" s="487"/>
    </row>
    <row r="99" spans="2:5" hidden="1" x14ac:dyDescent="0.2">
      <c r="B99" t="s">
        <v>207</v>
      </c>
      <c r="C99" s="43">
        <f>'19_20 District Budget Summ-13'!T166</f>
        <v>0</v>
      </c>
      <c r="D99" s="43">
        <f>'PCFP-All Expense AA-1 Modi-13'!J85</f>
        <v>0</v>
      </c>
      <c r="E99" s="487"/>
    </row>
    <row r="100" spans="2:5" hidden="1" x14ac:dyDescent="0.2">
      <c r="B100" t="s">
        <v>208</v>
      </c>
      <c r="C100" s="43">
        <f>'19_20 District Budget Summ-13'!T167</f>
        <v>0</v>
      </c>
      <c r="D100" s="43">
        <f>'PCFP-All Expense AA-1 Modi-13'!J86</f>
        <v>0</v>
      </c>
      <c r="E100" s="487"/>
    </row>
    <row r="101" spans="2:5" hidden="1" x14ac:dyDescent="0.2">
      <c r="B101" t="s">
        <v>209</v>
      </c>
      <c r="C101" s="43">
        <f>'19_20 District Budget Summ-13'!T168</f>
        <v>0</v>
      </c>
      <c r="D101" s="43">
        <f>'PCFP-All Expense AA-1 Modi-13'!J87</f>
        <v>0</v>
      </c>
      <c r="E101" s="487"/>
    </row>
    <row r="102" spans="2:5" hidden="1" x14ac:dyDescent="0.2">
      <c r="B102" t="s">
        <v>210</v>
      </c>
      <c r="C102" s="43">
        <f>'19_20 District Budget Summ-13'!T169</f>
        <v>0</v>
      </c>
      <c r="D102" s="43">
        <f>'PCFP-All Expense AA-1 Modi-13'!J88</f>
        <v>0</v>
      </c>
      <c r="E102" s="487"/>
    </row>
    <row r="103" spans="2:5" hidden="1" x14ac:dyDescent="0.2">
      <c r="B103" t="s">
        <v>211</v>
      </c>
      <c r="C103" s="43">
        <f>'19_20 District Budget Summ-13'!T170</f>
        <v>0</v>
      </c>
      <c r="D103" s="43">
        <f>'PCFP-All Expense AA-1 Modi-13'!J89</f>
        <v>0</v>
      </c>
      <c r="E103" s="487"/>
    </row>
    <row r="104" spans="2:5" hidden="1" x14ac:dyDescent="0.2">
      <c r="B104" t="s">
        <v>212</v>
      </c>
      <c r="C104" s="43">
        <f>'19_20 District Budget Summ-13'!T171</f>
        <v>0</v>
      </c>
      <c r="D104" s="43">
        <f>'PCFP-All Expense AA-1 Modi-13'!J90</f>
        <v>0</v>
      </c>
      <c r="E104" s="487"/>
    </row>
    <row r="105" spans="2:5" hidden="1" x14ac:dyDescent="0.2">
      <c r="B105" t="s">
        <v>213</v>
      </c>
      <c r="C105" s="43">
        <f>'19_20 District Budget Summ-13'!T172</f>
        <v>0</v>
      </c>
      <c r="D105" s="43">
        <f>'PCFP-All Expense AA-1 Modi-13'!J91</f>
        <v>0</v>
      </c>
      <c r="E105" s="487"/>
    </row>
    <row r="106" spans="2:5" hidden="1" x14ac:dyDescent="0.2">
      <c r="B106" t="s">
        <v>214</v>
      </c>
      <c r="C106" s="43">
        <f>'19_20 District Budget Summ-13'!T173</f>
        <v>0</v>
      </c>
      <c r="D106" s="43">
        <f>'PCFP-All Expense AA-1 Modi-13'!J92</f>
        <v>0</v>
      </c>
      <c r="E106" s="487"/>
    </row>
    <row r="107" spans="2:5" hidden="1" x14ac:dyDescent="0.2">
      <c r="B107" t="s">
        <v>215</v>
      </c>
      <c r="C107" s="43">
        <f>'19_20 District Budget Summ-13'!T174</f>
        <v>0</v>
      </c>
      <c r="D107" s="43">
        <f>'PCFP-All Expense AA-1 Modi-13'!J93</f>
        <v>0</v>
      </c>
      <c r="E107" s="487"/>
    </row>
    <row r="108" spans="2:5" hidden="1" x14ac:dyDescent="0.2">
      <c r="B108" t="s">
        <v>216</v>
      </c>
      <c r="C108" s="43">
        <f>'19_20 District Budget Summ-13'!T175</f>
        <v>0</v>
      </c>
      <c r="D108" s="43">
        <f>'PCFP-All Expense AA-1 Modi-13'!J94</f>
        <v>0</v>
      </c>
      <c r="E108" s="487"/>
    </row>
    <row r="109" spans="2:5" hidden="1" x14ac:dyDescent="0.2">
      <c r="B109" t="s">
        <v>217</v>
      </c>
      <c r="C109" s="43">
        <f>'19_20 District Budget Summ-13'!T176</f>
        <v>0</v>
      </c>
      <c r="D109" s="43">
        <f>'PCFP-All Expense AA-1 Modi-13'!J95</f>
        <v>0</v>
      </c>
      <c r="E109" s="487"/>
    </row>
    <row r="110" spans="2:5" hidden="1" x14ac:dyDescent="0.2">
      <c r="B110" t="s">
        <v>218</v>
      </c>
      <c r="C110" s="43">
        <f>'19_20 District Budget Summ-13'!T177</f>
        <v>0</v>
      </c>
      <c r="D110" s="43">
        <f>'PCFP-All Expense AA-1 Modi-13'!J96</f>
        <v>0</v>
      </c>
      <c r="E110" s="487"/>
    </row>
    <row r="111" spans="2:5" hidden="1" x14ac:dyDescent="0.2">
      <c r="B111" t="s">
        <v>219</v>
      </c>
      <c r="C111" s="43">
        <f>'19_20 District Budget Summ-13'!T178</f>
        <v>0</v>
      </c>
      <c r="D111" s="43">
        <f>'PCFP-All Expense AA-1 Modi-13'!J97</f>
        <v>0</v>
      </c>
      <c r="E111" s="487"/>
    </row>
    <row r="112" spans="2:5" hidden="1" x14ac:dyDescent="0.2">
      <c r="B112" t="s">
        <v>220</v>
      </c>
      <c r="C112" s="43">
        <f>'19_20 District Budget Summ-13'!T179</f>
        <v>0</v>
      </c>
      <c r="D112" s="43">
        <f>'PCFP-All Expense AA-1 Modi-13'!J98</f>
        <v>0</v>
      </c>
      <c r="E112" s="487"/>
    </row>
    <row r="113" spans="1:5" hidden="1" x14ac:dyDescent="0.2">
      <c r="B113" t="s">
        <v>221</v>
      </c>
      <c r="C113" s="43">
        <f>'19_20 District Budget Summ-13'!T180</f>
        <v>0</v>
      </c>
      <c r="D113" s="43">
        <f>'PCFP-All Expense AA-1 Modi-13'!J99</f>
        <v>503560</v>
      </c>
      <c r="E113" s="487"/>
    </row>
    <row r="114" spans="1:5" hidden="1" x14ac:dyDescent="0.2">
      <c r="A114" s="2" t="s">
        <v>10</v>
      </c>
      <c r="B114" t="s">
        <v>142</v>
      </c>
      <c r="C114" s="43">
        <f>'19_20 District Budget Summ-13'!T181</f>
        <v>0</v>
      </c>
      <c r="D114" s="43">
        <f>'PCFP-All Expense AA-1 Modi-13'!J100</f>
        <v>0</v>
      </c>
      <c r="E114" s="487"/>
    </row>
    <row r="115" spans="1:5" hidden="1" x14ac:dyDescent="0.2">
      <c r="A115" s="2" t="s">
        <v>10</v>
      </c>
      <c r="B115" t="s">
        <v>141</v>
      </c>
      <c r="C115" s="43">
        <f>'19_20 District Budget Summ-13'!T182</f>
        <v>0</v>
      </c>
      <c r="D115" s="43">
        <f>'PCFP-All Expense AA-1 Modi-13'!J101</f>
        <v>0</v>
      </c>
      <c r="E115" s="487"/>
    </row>
    <row r="116" spans="1:5" hidden="1" x14ac:dyDescent="0.2">
      <c r="A116" s="2" t="s">
        <v>33</v>
      </c>
      <c r="B116" t="s">
        <v>222</v>
      </c>
      <c r="C116" s="43">
        <f>'19_20 District Budget Summ-13'!T183</f>
        <v>0</v>
      </c>
      <c r="D116" s="43">
        <f>'PCFP-All Expense AA-1 Modi-13'!J102</f>
        <v>0</v>
      </c>
      <c r="E116" s="487"/>
    </row>
    <row r="117" spans="1:5" hidden="1" x14ac:dyDescent="0.2">
      <c r="A117" s="2" t="s">
        <v>10</v>
      </c>
      <c r="B117" t="s">
        <v>138</v>
      </c>
      <c r="C117" s="43">
        <f>'19_20 District Budget Summ-13'!T184</f>
        <v>0</v>
      </c>
      <c r="D117" s="43">
        <f>'PCFP-All Expense AA-1 Modi-13'!J103</f>
        <v>0</v>
      </c>
      <c r="E117" s="487"/>
    </row>
    <row r="118" spans="1:5" hidden="1" x14ac:dyDescent="0.2">
      <c r="A118" s="2" t="s">
        <v>10</v>
      </c>
      <c r="B118" t="s">
        <v>136</v>
      </c>
      <c r="C118" s="43">
        <f>'19_20 District Budget Summ-13'!T185</f>
        <v>0</v>
      </c>
      <c r="D118" s="43">
        <f>'PCFP-All Expense AA-1 Modi-13'!J104</f>
        <v>12536254</v>
      </c>
      <c r="E118" s="487"/>
    </row>
    <row r="119" spans="1:5" hidden="1" x14ac:dyDescent="0.2">
      <c r="B119" t="s">
        <v>223</v>
      </c>
      <c r="C119" s="43">
        <f>'19_20 District Budget Summ-13'!T186</f>
        <v>0</v>
      </c>
      <c r="D119" s="43">
        <f>'PCFP-All Expense AA-1 Modi-13'!J105</f>
        <v>0</v>
      </c>
      <c r="E119" s="487"/>
    </row>
    <row r="120" spans="1:5" hidden="1" x14ac:dyDescent="0.2">
      <c r="B120" t="s">
        <v>224</v>
      </c>
      <c r="C120" s="43">
        <f>'19_20 District Budget Summ-13'!T187</f>
        <v>0</v>
      </c>
      <c r="D120" s="43">
        <f>'PCFP-All Expense AA-1 Modi-13'!J106</f>
        <v>0</v>
      </c>
      <c r="E120" s="487"/>
    </row>
    <row r="121" spans="1:5" hidden="1" x14ac:dyDescent="0.2">
      <c r="B121" t="s">
        <v>225</v>
      </c>
      <c r="C121" s="43">
        <f>'19_20 District Budget Summ-13'!T188</f>
        <v>0</v>
      </c>
      <c r="D121" s="43">
        <f>'PCFP-All Expense AA-1 Modi-13'!J107</f>
        <v>0</v>
      </c>
      <c r="E121" s="487"/>
    </row>
    <row r="122" spans="1:5" hidden="1" x14ac:dyDescent="0.2">
      <c r="B122" t="s">
        <v>226</v>
      </c>
      <c r="C122" s="43">
        <f>'19_20 District Budget Summ-13'!T189</f>
        <v>0</v>
      </c>
      <c r="D122" s="43">
        <f>'PCFP-All Expense AA-1 Modi-13'!J108</f>
        <v>0</v>
      </c>
      <c r="E122" s="487"/>
    </row>
    <row r="123" spans="1:5" hidden="1" x14ac:dyDescent="0.2">
      <c r="B123" t="s">
        <v>227</v>
      </c>
      <c r="C123" s="43">
        <f>'19_20 District Budget Summ-13'!T190</f>
        <v>0</v>
      </c>
      <c r="D123" s="43">
        <f>'PCFP-All Expense AA-1 Modi-13'!J109</f>
        <v>1876314</v>
      </c>
      <c r="E123" s="487"/>
    </row>
    <row r="124" spans="1:5" hidden="1" x14ac:dyDescent="0.2">
      <c r="B124" t="s">
        <v>228</v>
      </c>
      <c r="C124" s="43">
        <f>'19_20 District Budget Summ-13'!T191</f>
        <v>0</v>
      </c>
      <c r="D124" s="43">
        <f>'PCFP-All Expense AA-1 Modi-13'!J110</f>
        <v>0</v>
      </c>
      <c r="E124" s="487"/>
    </row>
    <row r="125" spans="1:5" hidden="1" x14ac:dyDescent="0.2">
      <c r="B125" t="s">
        <v>229</v>
      </c>
      <c r="C125" s="43">
        <f>'19_20 District Budget Summ-13'!T192</f>
        <v>0</v>
      </c>
      <c r="D125" s="43">
        <f>'PCFP-All Expense AA-1 Modi-13'!J111</f>
        <v>0</v>
      </c>
      <c r="E125" s="487"/>
    </row>
    <row r="126" spans="1:5" hidden="1" x14ac:dyDescent="0.2">
      <c r="B126" t="s">
        <v>230</v>
      </c>
      <c r="C126" s="43">
        <f>'19_20 District Budget Summ-13'!T193</f>
        <v>0</v>
      </c>
      <c r="D126" s="43">
        <f>'PCFP-All Expense AA-1 Modi-13'!J112</f>
        <v>0</v>
      </c>
      <c r="E126" s="487"/>
    </row>
    <row r="127" spans="1:5" hidden="1" x14ac:dyDescent="0.2">
      <c r="B127" t="s">
        <v>231</v>
      </c>
      <c r="C127" s="43">
        <f>'19_20 District Budget Summ-13'!T194</f>
        <v>0</v>
      </c>
      <c r="D127" s="43">
        <f>'PCFP-All Expense AA-1 Modi-13'!J113</f>
        <v>0</v>
      </c>
      <c r="E127" s="487"/>
    </row>
    <row r="128" spans="1:5" hidden="1" x14ac:dyDescent="0.2">
      <c r="B128" t="s">
        <v>232</v>
      </c>
      <c r="C128" s="43">
        <f>'19_20 District Budget Summ-13'!T195</f>
        <v>0</v>
      </c>
      <c r="D128" s="43">
        <f>'PCFP-All Expense AA-1 Modi-13'!J114</f>
        <v>0</v>
      </c>
      <c r="E128" s="487"/>
    </row>
    <row r="129" spans="2:5" hidden="1" x14ac:dyDescent="0.2">
      <c r="B129" t="s">
        <v>233</v>
      </c>
      <c r="C129" s="43">
        <f>'19_20 District Budget Summ-13'!T196</f>
        <v>0</v>
      </c>
      <c r="D129" s="43">
        <f>'PCFP-All Expense AA-1 Modi-13'!J115</f>
        <v>0</v>
      </c>
      <c r="E129" s="487"/>
    </row>
    <row r="130" spans="2:5" hidden="1" x14ac:dyDescent="0.2">
      <c r="B130" t="s">
        <v>234</v>
      </c>
      <c r="C130" s="43">
        <f>'19_20 District Budget Summ-13'!T197</f>
        <v>0</v>
      </c>
      <c r="D130" s="43">
        <f>'PCFP-All Expense AA-1 Modi-13'!J116</f>
        <v>0</v>
      </c>
      <c r="E130" s="487"/>
    </row>
    <row r="131" spans="2:5" hidden="1" x14ac:dyDescent="0.2">
      <c r="B131" t="s">
        <v>9</v>
      </c>
      <c r="C131" s="43">
        <f>'19_20 District Budget Summ-13'!T198</f>
        <v>-9158251</v>
      </c>
      <c r="D131" s="43">
        <f>'PCFP-All Expense AA-1 Modi-13'!J117</f>
        <v>0</v>
      </c>
      <c r="E131" s="487"/>
    </row>
    <row r="132" spans="2:5" hidden="1" x14ac:dyDescent="0.2">
      <c r="B132" s="3" t="s">
        <v>235</v>
      </c>
      <c r="C132" s="43">
        <f>'19_20 District Budget Summ-13'!T200</f>
        <v>0</v>
      </c>
      <c r="D132" s="43">
        <f>'PCFP-All Expense AA-1 Modi-13'!J118</f>
        <v>0</v>
      </c>
      <c r="E132" s="487"/>
    </row>
    <row r="133" spans="2:5" hidden="1" x14ac:dyDescent="0.2">
      <c r="B133" t="s">
        <v>236</v>
      </c>
      <c r="C133" s="43">
        <f>'19_20 District Budget Summ-13'!T201</f>
        <v>5972857</v>
      </c>
      <c r="D133" s="43">
        <f>'PCFP-All Expense AA-1 Modi-13'!J119</f>
        <v>6022856.6999999993</v>
      </c>
      <c r="E133" s="487"/>
    </row>
    <row r="134" spans="2:5" hidden="1" x14ac:dyDescent="0.2">
      <c r="B134" t="s">
        <v>237</v>
      </c>
      <c r="C134" s="43">
        <f>'19_20 District Budget Summ-13'!T202</f>
        <v>0</v>
      </c>
      <c r="D134" s="43">
        <f>'PCFP-All Expense AA-1 Modi-13'!J120</f>
        <v>0</v>
      </c>
      <c r="E134" s="487"/>
    </row>
    <row r="135" spans="2:5" hidden="1" x14ac:dyDescent="0.2">
      <c r="B135" t="s">
        <v>238</v>
      </c>
      <c r="C135" s="43">
        <f>'19_20 District Budget Summ-13'!T203</f>
        <v>0</v>
      </c>
      <c r="D135" s="43">
        <f>'PCFP-All Expense AA-1 Modi-13'!J121</f>
        <v>0</v>
      </c>
      <c r="E135" s="487"/>
    </row>
    <row r="136" spans="2:5" hidden="1" x14ac:dyDescent="0.2">
      <c r="B136" t="s">
        <v>239</v>
      </c>
      <c r="C136" s="43">
        <f>'19_20 District Budget Summ-13'!T204</f>
        <v>0</v>
      </c>
      <c r="D136" s="43">
        <f>'PCFP-All Expense AA-1 Modi-13'!J122</f>
        <v>0</v>
      </c>
      <c r="E136" s="487"/>
    </row>
    <row r="137" spans="2:5" hidden="1" x14ac:dyDescent="0.2">
      <c r="B137" t="s">
        <v>240</v>
      </c>
      <c r="C137" s="43">
        <f>'19_20 District Budget Summ-13'!T205</f>
        <v>0</v>
      </c>
      <c r="D137" s="43">
        <f>'PCFP-All Expense AA-1 Modi-13'!J123</f>
        <v>220710</v>
      </c>
      <c r="E137" s="487"/>
    </row>
    <row r="138" spans="2:5" hidden="1" x14ac:dyDescent="0.2">
      <c r="B138" t="s">
        <v>241</v>
      </c>
      <c r="C138" s="43">
        <f>'19_20 District Budget Summ-13'!T206</f>
        <v>0</v>
      </c>
      <c r="D138" s="43">
        <f>'PCFP-All Expense AA-1 Modi-13'!J124</f>
        <v>0</v>
      </c>
      <c r="E138" s="487"/>
    </row>
    <row r="139" spans="2:5" hidden="1" x14ac:dyDescent="0.2">
      <c r="B139" t="s">
        <v>242</v>
      </c>
      <c r="C139" s="43">
        <f>'19_20 District Budget Summ-13'!T207</f>
        <v>0</v>
      </c>
      <c r="D139" s="43">
        <f>'PCFP-All Expense AA-1 Modi-13'!J125</f>
        <v>0</v>
      </c>
      <c r="E139" s="487"/>
    </row>
    <row r="140" spans="2:5" hidden="1" x14ac:dyDescent="0.2">
      <c r="B140" t="s">
        <v>243</v>
      </c>
      <c r="C140" s="43">
        <f>'19_20 District Budget Summ-13'!T208</f>
        <v>0</v>
      </c>
      <c r="D140" s="43">
        <f>'PCFP-All Expense AA-1 Modi-13'!J126</f>
        <v>0</v>
      </c>
      <c r="E140" s="487"/>
    </row>
    <row r="141" spans="2:5" hidden="1" x14ac:dyDescent="0.2">
      <c r="B141" t="s">
        <v>244</v>
      </c>
      <c r="C141" s="43">
        <f>'19_20 District Budget Summ-13'!T209</f>
        <v>0</v>
      </c>
      <c r="D141" s="43">
        <f>'PCFP-All Expense AA-1 Modi-13'!J127</f>
        <v>0</v>
      </c>
      <c r="E141" s="487"/>
    </row>
    <row r="142" spans="2:5" hidden="1" x14ac:dyDescent="0.2">
      <c r="B142" s="2" t="s">
        <v>245</v>
      </c>
      <c r="C142" s="43"/>
      <c r="D142" s="43">
        <f>'PCFP-All Expense AA-1 Modi-13'!J128</f>
        <v>0</v>
      </c>
      <c r="E142" s="487"/>
    </row>
    <row r="143" spans="2:5" hidden="1" x14ac:dyDescent="0.2">
      <c r="B143" t="s">
        <v>246</v>
      </c>
      <c r="C143" s="43">
        <f>'19_20 District Budget Summ-13'!T211</f>
        <v>0</v>
      </c>
      <c r="D143" s="43">
        <f>'PCFP-All Expense AA-1 Modi-13'!J129</f>
        <v>0</v>
      </c>
      <c r="E143" s="487"/>
    </row>
    <row r="144" spans="2:5" hidden="1" x14ac:dyDescent="0.2">
      <c r="B144" t="s">
        <v>247</v>
      </c>
      <c r="C144" s="43">
        <f>'19_20 District Budget Summ-13'!T212</f>
        <v>0</v>
      </c>
      <c r="D144" s="43">
        <f>'PCFP-All Expense AA-1 Modi-13'!J130</f>
        <v>0</v>
      </c>
      <c r="E144" s="487"/>
    </row>
    <row r="145" spans="2:5" hidden="1" x14ac:dyDescent="0.2">
      <c r="B145" t="s">
        <v>248</v>
      </c>
      <c r="C145" s="43">
        <f>'19_20 District Budget Summ-13'!T213</f>
        <v>0</v>
      </c>
      <c r="D145" s="43">
        <f>'PCFP-All Expense AA-1 Modi-13'!J131</f>
        <v>0</v>
      </c>
      <c r="E145" s="487"/>
    </row>
    <row r="146" spans="2:5" hidden="1" x14ac:dyDescent="0.2">
      <c r="B146" t="s">
        <v>249</v>
      </c>
      <c r="C146" s="43">
        <f>'19_20 District Budget Summ-13'!T214</f>
        <v>0</v>
      </c>
      <c r="D146" s="43">
        <f>'PCFP-All Expense AA-1 Modi-13'!J132</f>
        <v>0</v>
      </c>
      <c r="E146" s="487"/>
    </row>
    <row r="147" spans="2:5" hidden="1" x14ac:dyDescent="0.2">
      <c r="B147" t="s">
        <v>250</v>
      </c>
      <c r="C147" s="43">
        <f>'19_20 District Budget Summ-13'!T215</f>
        <v>11179819</v>
      </c>
      <c r="D147" s="43">
        <f>'PCFP-All Expense AA-1 Modi-13'!J133</f>
        <v>0</v>
      </c>
      <c r="E147" s="487"/>
    </row>
    <row r="148" spans="2:5" hidden="1" x14ac:dyDescent="0.2">
      <c r="B148" t="s">
        <v>251</v>
      </c>
      <c r="C148" s="43">
        <f>'19_20 District Budget Summ-13'!T216</f>
        <v>0</v>
      </c>
      <c r="D148" s="43">
        <f>'PCFP-All Expense AA-1 Modi-13'!J134</f>
        <v>0</v>
      </c>
      <c r="E148" s="487"/>
    </row>
    <row r="149" spans="2:5" hidden="1" x14ac:dyDescent="0.2">
      <c r="B149" t="s">
        <v>252</v>
      </c>
      <c r="C149" s="43">
        <f>'19_20 District Budget Summ-13'!T217</f>
        <v>0</v>
      </c>
      <c r="D149" s="43">
        <f>'PCFP-All Expense AA-1 Modi-13'!J135</f>
        <v>0</v>
      </c>
      <c r="E149" s="487"/>
    </row>
    <row r="150" spans="2:5" hidden="1" x14ac:dyDescent="0.2">
      <c r="B150" t="s">
        <v>253</v>
      </c>
      <c r="C150" s="43">
        <f>'19_20 District Budget Summ-13'!T218</f>
        <v>0</v>
      </c>
      <c r="D150" s="43">
        <f>'PCFP-All Expense AA-1 Modi-13'!J136</f>
        <v>0</v>
      </c>
      <c r="E150" s="487"/>
    </row>
    <row r="151" spans="2:5" hidden="1" x14ac:dyDescent="0.2">
      <c r="B151" t="s">
        <v>254</v>
      </c>
      <c r="C151" s="43">
        <f>'19_20 District Budget Summ-13'!T219</f>
        <v>0</v>
      </c>
      <c r="D151" s="43">
        <f>'PCFP-All Expense AA-1 Modi-13'!J137</f>
        <v>0</v>
      </c>
      <c r="E151" s="487"/>
    </row>
    <row r="152" spans="2:5" hidden="1" x14ac:dyDescent="0.2">
      <c r="B152" t="s">
        <v>255</v>
      </c>
      <c r="C152" s="43">
        <f>'19_20 District Budget Summ-13'!T220</f>
        <v>0</v>
      </c>
      <c r="D152" s="43">
        <f>'PCFP-All Expense AA-1 Modi-13'!J138</f>
        <v>0</v>
      </c>
      <c r="E152" s="487"/>
    </row>
    <row r="153" spans="2:5" hidden="1" x14ac:dyDescent="0.2">
      <c r="B153" t="s">
        <v>256</v>
      </c>
      <c r="C153" s="43">
        <f>'19_20 District Budget Summ-13'!T221</f>
        <v>0</v>
      </c>
      <c r="D153" s="43">
        <f>'PCFP-All Expense AA-1 Modi-13'!J139</f>
        <v>0</v>
      </c>
      <c r="E153" s="487"/>
    </row>
    <row r="154" spans="2:5" hidden="1" x14ac:dyDescent="0.2">
      <c r="B154" t="s">
        <v>257</v>
      </c>
      <c r="C154" s="43">
        <f>'19_20 District Budget Summ-13'!T222</f>
        <v>0</v>
      </c>
      <c r="D154" s="43">
        <f>'PCFP-All Expense AA-1 Modi-13'!J140</f>
        <v>0</v>
      </c>
      <c r="E154" s="487"/>
    </row>
    <row r="155" spans="2:5" hidden="1" x14ac:dyDescent="0.2">
      <c r="B155" t="s">
        <v>258</v>
      </c>
      <c r="C155" s="43">
        <f>'19_20 District Budget Summ-13'!T223</f>
        <v>0</v>
      </c>
      <c r="D155" s="43">
        <f>'PCFP-All Expense AA-1 Modi-13'!J141</f>
        <v>11179819</v>
      </c>
      <c r="E155" s="487"/>
    </row>
    <row r="156" spans="2:5" hidden="1" x14ac:dyDescent="0.2">
      <c r="B156" t="s">
        <v>259</v>
      </c>
      <c r="C156" s="43">
        <f>'19_20 District Budget Summ-13'!T224</f>
        <v>0</v>
      </c>
      <c r="D156" s="43">
        <f>'PCFP-All Expense AA-1 Modi-13'!J142</f>
        <v>0</v>
      </c>
      <c r="E156" s="487"/>
    </row>
    <row r="157" spans="2:5" hidden="1" x14ac:dyDescent="0.2">
      <c r="B157" t="s">
        <v>260</v>
      </c>
      <c r="C157" s="43">
        <f>'19_20 District Budget Summ-13'!T225</f>
        <v>830551</v>
      </c>
      <c r="D157" s="43">
        <f>'PCFP-All Expense AA-1 Modi-13'!J143</f>
        <v>830552</v>
      </c>
      <c r="E157" s="487"/>
    </row>
    <row r="158" spans="2:5" hidden="1" x14ac:dyDescent="0.2">
      <c r="B158" t="str">
        <f>'PCFP-All Expense AA-1 Modi-13'!B146</f>
        <v>Less:  Interfund Transfers</v>
      </c>
      <c r="C158" s="43">
        <v>0</v>
      </c>
      <c r="D158" s="43">
        <v>-9158251</v>
      </c>
      <c r="E158" s="487"/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4863-688C-4B7B-93B1-7B8D7A4B1E88}">
  <dimension ref="A1:W226"/>
  <sheetViews>
    <sheetView showGridLines="0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 x14ac:dyDescent="0.2"/>
  <cols>
    <col min="1" max="1" width="7.42578125" style="2" bestFit="1" customWidth="1"/>
    <col min="2" max="2" width="41.140625" style="3" bestFit="1" customWidth="1"/>
    <col min="3" max="4" width="19.28515625" style="933" bestFit="1" customWidth="1"/>
    <col min="5" max="5" width="16" style="933" bestFit="1" customWidth="1"/>
    <col min="6" max="6" width="17.85546875" style="933" bestFit="1" customWidth="1"/>
    <col min="7" max="7" width="15.7109375" style="933" bestFit="1" customWidth="1"/>
    <col min="8" max="8" width="18.85546875" style="933" bestFit="1" customWidth="1"/>
    <col min="9" max="9" width="16" style="933" bestFit="1" customWidth="1"/>
    <col min="10" max="10" width="17.42578125" style="933" bestFit="1" customWidth="1"/>
    <col min="11" max="11" width="17.85546875" style="933" bestFit="1" customWidth="1"/>
    <col min="12" max="12" width="17.42578125" style="933" bestFit="1" customWidth="1"/>
    <col min="13" max="13" width="19.5703125" style="933" bestFit="1" customWidth="1"/>
    <col min="14" max="14" width="16" style="933" bestFit="1" customWidth="1"/>
    <col min="15" max="15" width="15.7109375" style="933" bestFit="1" customWidth="1"/>
    <col min="16" max="16" width="17.85546875" style="933" bestFit="1" customWidth="1"/>
    <col min="17" max="17" width="18.85546875" style="933" bestFit="1" customWidth="1"/>
    <col min="18" max="18" width="15.7109375" style="933" bestFit="1" customWidth="1"/>
    <col min="19" max="19" width="17.85546875" style="933" bestFit="1" customWidth="1"/>
    <col min="20" max="20" width="37.85546875" style="3" bestFit="1" customWidth="1"/>
    <col min="21" max="21" width="19.28515625" style="3" bestFit="1" customWidth="1"/>
    <col min="22" max="22" width="16.42578125" hidden="1" customWidth="1"/>
    <col min="23" max="23" width="14.85546875" style="520" hidden="1" customWidth="1"/>
  </cols>
  <sheetData>
    <row r="1" spans="1:23" s="8" customFormat="1" ht="18" x14ac:dyDescent="0.25">
      <c r="A1" s="6"/>
      <c r="B1" s="9" t="s">
        <v>261</v>
      </c>
      <c r="C1" s="496" t="s">
        <v>700</v>
      </c>
      <c r="D1" s="10" t="s">
        <v>119</v>
      </c>
      <c r="E1" s="332" t="s">
        <v>262</v>
      </c>
      <c r="F1" s="333">
        <v>165686334</v>
      </c>
      <c r="J1" s="10"/>
      <c r="K1" s="10"/>
      <c r="L1" s="10"/>
      <c r="N1" s="10"/>
      <c r="O1" s="10"/>
      <c r="P1" s="10"/>
      <c r="R1" s="10"/>
      <c r="W1" s="517"/>
    </row>
    <row r="3" spans="1:23" s="15" customFormat="1" ht="25.5" x14ac:dyDescent="0.2">
      <c r="A3" s="13"/>
      <c r="B3" s="13" t="s">
        <v>120</v>
      </c>
      <c r="C3" s="14" t="s">
        <v>263</v>
      </c>
      <c r="D3" s="14" t="s">
        <v>173</v>
      </c>
      <c r="E3" s="14" t="s">
        <v>191</v>
      </c>
      <c r="F3" s="14" t="s">
        <v>236</v>
      </c>
      <c r="G3" s="14" t="s">
        <v>701</v>
      </c>
      <c r="H3" s="14" t="s">
        <v>9</v>
      </c>
      <c r="I3" s="14" t="s">
        <v>702</v>
      </c>
      <c r="J3" s="14" t="s">
        <v>204</v>
      </c>
      <c r="K3" s="14" t="s">
        <v>206</v>
      </c>
      <c r="L3" s="14" t="s">
        <v>188</v>
      </c>
      <c r="M3" s="14" t="s">
        <v>703</v>
      </c>
      <c r="N3" s="14" t="s">
        <v>185</v>
      </c>
      <c r="O3" s="14" t="s">
        <v>704</v>
      </c>
      <c r="P3" s="14" t="s">
        <v>668</v>
      </c>
      <c r="Q3" s="14" t="s">
        <v>209</v>
      </c>
      <c r="R3" s="14" t="s">
        <v>705</v>
      </c>
      <c r="S3" s="14" t="s">
        <v>633</v>
      </c>
      <c r="T3" s="14" t="s">
        <v>679</v>
      </c>
      <c r="U3" s="942"/>
      <c r="W3" s="518"/>
    </row>
    <row r="4" spans="1:23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942"/>
      <c r="V4" s="290">
        <f>SUM(V5:V12)</f>
        <v>23983120</v>
      </c>
      <c r="W4" s="518"/>
    </row>
    <row r="5" spans="1:23" s="291" customFormat="1" x14ac:dyDescent="0.2">
      <c r="B5" s="932" t="s">
        <v>274</v>
      </c>
      <c r="C5" s="935">
        <v>10778434</v>
      </c>
      <c r="D5" s="935">
        <v>8407188</v>
      </c>
      <c r="E5" s="935">
        <v>0</v>
      </c>
      <c r="F5" s="935">
        <v>0</v>
      </c>
      <c r="G5" s="935">
        <v>0</v>
      </c>
      <c r="H5" s="935">
        <v>0</v>
      </c>
      <c r="I5" s="935">
        <v>0</v>
      </c>
      <c r="J5" s="935">
        <v>0</v>
      </c>
      <c r="K5" s="935">
        <v>0</v>
      </c>
      <c r="L5" s="935">
        <v>0</v>
      </c>
      <c r="M5" s="935">
        <v>0</v>
      </c>
      <c r="N5" s="935">
        <v>0</v>
      </c>
      <c r="O5" s="935">
        <v>0</v>
      </c>
      <c r="P5" s="935">
        <v>0</v>
      </c>
      <c r="Q5" s="935">
        <v>0</v>
      </c>
      <c r="R5" s="935">
        <v>0</v>
      </c>
      <c r="S5" s="935">
        <v>0</v>
      </c>
      <c r="T5" s="935" t="str">
        <f t="shared" ref="T5:T33" si="0">B5</f>
        <v>Property Taxes</v>
      </c>
      <c r="U5" s="523">
        <f t="shared" ref="U5:U33" si="1">SUM(C5:S5)</f>
        <v>19185622</v>
      </c>
      <c r="V5" s="293">
        <f>U5-D5</f>
        <v>10778434</v>
      </c>
      <c r="W5" s="292" t="s">
        <v>275</v>
      </c>
    </row>
    <row r="6" spans="1:23" s="291" customFormat="1" ht="25.5" hidden="1" x14ac:dyDescent="0.2">
      <c r="B6" s="932" t="s">
        <v>474</v>
      </c>
      <c r="C6" s="935">
        <v>0</v>
      </c>
      <c r="D6" s="935">
        <v>0</v>
      </c>
      <c r="E6" s="935">
        <v>0</v>
      </c>
      <c r="F6" s="935">
        <v>0</v>
      </c>
      <c r="G6" s="935">
        <v>0</v>
      </c>
      <c r="H6" s="935">
        <v>0</v>
      </c>
      <c r="I6" s="935">
        <v>0</v>
      </c>
      <c r="J6" s="935">
        <v>0</v>
      </c>
      <c r="K6" s="935">
        <v>0</v>
      </c>
      <c r="L6" s="935">
        <v>0</v>
      </c>
      <c r="M6" s="935">
        <v>0</v>
      </c>
      <c r="N6" s="935">
        <v>0</v>
      </c>
      <c r="O6" s="935">
        <v>0</v>
      </c>
      <c r="P6" s="935">
        <v>0</v>
      </c>
      <c r="Q6" s="935">
        <v>0</v>
      </c>
      <c r="R6" s="935">
        <v>0</v>
      </c>
      <c r="S6" s="935">
        <v>0</v>
      </c>
      <c r="T6" s="935" t="str">
        <f t="shared" si="0"/>
        <v>Net Proceeds from Mines</v>
      </c>
      <c r="U6" s="523">
        <f t="shared" si="1"/>
        <v>0</v>
      </c>
      <c r="V6" s="293">
        <f t="shared" ref="V6:V11" si="2">U6</f>
        <v>0</v>
      </c>
      <c r="W6" s="292" t="s">
        <v>473</v>
      </c>
    </row>
    <row r="7" spans="1:23" s="37" customFormat="1" x14ac:dyDescent="0.2">
      <c r="B7" s="3" t="s">
        <v>276</v>
      </c>
      <c r="C7" s="935">
        <v>11230205</v>
      </c>
      <c r="D7" s="935">
        <v>0</v>
      </c>
      <c r="E7" s="935">
        <v>0</v>
      </c>
      <c r="F7" s="935">
        <v>0</v>
      </c>
      <c r="G7" s="935">
        <v>0</v>
      </c>
      <c r="H7" s="935">
        <v>0</v>
      </c>
      <c r="I7" s="935">
        <v>0</v>
      </c>
      <c r="J7" s="935">
        <v>0</v>
      </c>
      <c r="K7" s="935">
        <v>0</v>
      </c>
      <c r="L7" s="935">
        <v>0</v>
      </c>
      <c r="M7" s="935">
        <v>0</v>
      </c>
      <c r="N7" s="935">
        <v>0</v>
      </c>
      <c r="O7" s="935">
        <v>0</v>
      </c>
      <c r="P7" s="935">
        <v>0</v>
      </c>
      <c r="Q7" s="935">
        <v>0</v>
      </c>
      <c r="R7" s="935">
        <v>0</v>
      </c>
      <c r="S7" s="935">
        <v>0</v>
      </c>
      <c r="T7" s="935" t="str">
        <f t="shared" si="0"/>
        <v>School Support Taxes</v>
      </c>
      <c r="U7" s="523">
        <f t="shared" si="1"/>
        <v>11230205</v>
      </c>
      <c r="V7" s="293">
        <f t="shared" si="2"/>
        <v>11230205</v>
      </c>
      <c r="W7" s="519" t="s">
        <v>275</v>
      </c>
    </row>
    <row r="8" spans="1:23" s="37" customFormat="1" hidden="1" x14ac:dyDescent="0.2">
      <c r="B8" s="3" t="s">
        <v>551</v>
      </c>
      <c r="C8" s="935">
        <v>0</v>
      </c>
      <c r="D8" s="935">
        <v>0</v>
      </c>
      <c r="E8" s="935">
        <v>0</v>
      </c>
      <c r="F8" s="935">
        <v>0</v>
      </c>
      <c r="G8" s="935">
        <v>0</v>
      </c>
      <c r="H8" s="935">
        <v>0</v>
      </c>
      <c r="I8" s="935">
        <v>0</v>
      </c>
      <c r="J8" s="935">
        <v>0</v>
      </c>
      <c r="K8" s="935">
        <v>0</v>
      </c>
      <c r="L8" s="935">
        <v>0</v>
      </c>
      <c r="M8" s="935">
        <v>0</v>
      </c>
      <c r="N8" s="935">
        <v>0</v>
      </c>
      <c r="O8" s="935">
        <v>0</v>
      </c>
      <c r="P8" s="935">
        <v>0</v>
      </c>
      <c r="Q8" s="935">
        <v>0</v>
      </c>
      <c r="R8" s="935">
        <v>0</v>
      </c>
      <c r="S8" s="935">
        <v>0</v>
      </c>
      <c r="T8" s="935" t="str">
        <f t="shared" si="0"/>
        <v>Real Estate Transfer Tax</v>
      </c>
      <c r="U8" s="523">
        <f t="shared" si="1"/>
        <v>0</v>
      </c>
      <c r="V8" s="293"/>
      <c r="W8" s="519"/>
    </row>
    <row r="9" spans="1:23" s="37" customFormat="1" hidden="1" x14ac:dyDescent="0.2">
      <c r="B9" s="3" t="s">
        <v>550</v>
      </c>
      <c r="C9" s="935">
        <v>0</v>
      </c>
      <c r="D9" s="935">
        <v>0</v>
      </c>
      <c r="E9" s="935">
        <v>0</v>
      </c>
      <c r="F9" s="935">
        <v>0</v>
      </c>
      <c r="G9" s="935">
        <v>0</v>
      </c>
      <c r="H9" s="935">
        <v>0</v>
      </c>
      <c r="I9" s="935">
        <v>0</v>
      </c>
      <c r="J9" s="935">
        <v>0</v>
      </c>
      <c r="K9" s="935">
        <v>0</v>
      </c>
      <c r="L9" s="935">
        <v>0</v>
      </c>
      <c r="M9" s="935">
        <v>0</v>
      </c>
      <c r="N9" s="935">
        <v>0</v>
      </c>
      <c r="O9" s="935">
        <v>0</v>
      </c>
      <c r="P9" s="935">
        <v>0</v>
      </c>
      <c r="Q9" s="935">
        <v>0</v>
      </c>
      <c r="R9" s="935">
        <v>0</v>
      </c>
      <c r="S9" s="935">
        <v>0</v>
      </c>
      <c r="T9" s="935" t="str">
        <f t="shared" si="0"/>
        <v>Room Tax</v>
      </c>
      <c r="U9" s="523">
        <f t="shared" si="1"/>
        <v>0</v>
      </c>
      <c r="V9" s="293">
        <f t="shared" si="2"/>
        <v>0</v>
      </c>
      <c r="W9" s="519" t="s">
        <v>275</v>
      </c>
    </row>
    <row r="10" spans="1:23" s="37" customFormat="1" hidden="1" x14ac:dyDescent="0.2">
      <c r="B10" s="3" t="s">
        <v>277</v>
      </c>
      <c r="C10" s="935">
        <v>0</v>
      </c>
      <c r="D10" s="935">
        <v>0</v>
      </c>
      <c r="E10" s="935">
        <v>0</v>
      </c>
      <c r="F10" s="935">
        <v>0</v>
      </c>
      <c r="G10" s="935">
        <v>0</v>
      </c>
      <c r="H10" s="935">
        <v>0</v>
      </c>
      <c r="I10" s="935">
        <v>0</v>
      </c>
      <c r="J10" s="935">
        <v>0</v>
      </c>
      <c r="K10" s="935">
        <v>0</v>
      </c>
      <c r="L10" s="935">
        <v>0</v>
      </c>
      <c r="M10" s="935">
        <v>0</v>
      </c>
      <c r="N10" s="935">
        <v>0</v>
      </c>
      <c r="O10" s="935">
        <v>0</v>
      </c>
      <c r="P10" s="935">
        <v>0</v>
      </c>
      <c r="Q10" s="935">
        <v>0</v>
      </c>
      <c r="R10" s="935">
        <v>0</v>
      </c>
      <c r="S10" s="935">
        <v>0</v>
      </c>
      <c r="T10" s="935" t="str">
        <f t="shared" si="0"/>
        <v>Franchise Taxes</v>
      </c>
      <c r="U10" s="523">
        <f t="shared" si="1"/>
        <v>0</v>
      </c>
      <c r="V10" s="293">
        <f t="shared" si="2"/>
        <v>0</v>
      </c>
      <c r="W10" s="519" t="s">
        <v>275</v>
      </c>
    </row>
    <row r="11" spans="1:23" s="37" customFormat="1" hidden="1" x14ac:dyDescent="0.2">
      <c r="B11" s="3" t="s">
        <v>680</v>
      </c>
      <c r="C11" s="935">
        <v>0</v>
      </c>
      <c r="D11" s="935">
        <v>0</v>
      </c>
      <c r="E11" s="935">
        <v>0</v>
      </c>
      <c r="F11" s="935">
        <v>0</v>
      </c>
      <c r="G11" s="935">
        <v>0</v>
      </c>
      <c r="H11" s="935">
        <v>0</v>
      </c>
      <c r="I11" s="935">
        <v>0</v>
      </c>
      <c r="J11" s="935">
        <v>0</v>
      </c>
      <c r="K11" s="935">
        <v>0</v>
      </c>
      <c r="L11" s="935">
        <v>0</v>
      </c>
      <c r="M11" s="935">
        <v>0</v>
      </c>
      <c r="N11" s="935">
        <v>0</v>
      </c>
      <c r="O11" s="935">
        <v>0</v>
      </c>
      <c r="P11" s="935">
        <v>0</v>
      </c>
      <c r="Q11" s="935">
        <v>0</v>
      </c>
      <c r="R11" s="935">
        <v>0</v>
      </c>
      <c r="S11" s="935">
        <v>0</v>
      </c>
      <c r="T11" s="935" t="str">
        <f t="shared" si="0"/>
        <v>Geothermal</v>
      </c>
      <c r="U11" s="523">
        <f t="shared" si="1"/>
        <v>0</v>
      </c>
      <c r="V11" s="293">
        <f t="shared" si="2"/>
        <v>0</v>
      </c>
      <c r="W11" s="519" t="s">
        <v>275</v>
      </c>
    </row>
    <row r="12" spans="1:23" s="37" customFormat="1" x14ac:dyDescent="0.2">
      <c r="B12" s="3" t="s">
        <v>278</v>
      </c>
      <c r="C12" s="935">
        <v>1974481</v>
      </c>
      <c r="D12" s="935">
        <v>0</v>
      </c>
      <c r="E12" s="935">
        <v>0</v>
      </c>
      <c r="F12" s="935">
        <v>0</v>
      </c>
      <c r="G12" s="935">
        <v>0</v>
      </c>
      <c r="H12" s="935">
        <v>0</v>
      </c>
      <c r="I12" s="935">
        <v>0</v>
      </c>
      <c r="J12" s="935">
        <v>0</v>
      </c>
      <c r="K12" s="935">
        <v>0</v>
      </c>
      <c r="L12" s="935">
        <v>770048</v>
      </c>
      <c r="M12" s="935">
        <v>0</v>
      </c>
      <c r="N12" s="935">
        <v>0</v>
      </c>
      <c r="O12" s="935">
        <v>0</v>
      </c>
      <c r="P12" s="935">
        <v>0</v>
      </c>
      <c r="Q12" s="935">
        <v>0</v>
      </c>
      <c r="R12" s="935">
        <v>0</v>
      </c>
      <c r="S12" s="935">
        <v>0</v>
      </c>
      <c r="T12" s="935" t="str">
        <f t="shared" si="0"/>
        <v>Governmental Services Tax</v>
      </c>
      <c r="U12" s="523">
        <f t="shared" si="1"/>
        <v>2744529</v>
      </c>
      <c r="V12" s="293">
        <f>U12-L12</f>
        <v>1974481</v>
      </c>
      <c r="W12" s="519" t="s">
        <v>279</v>
      </c>
    </row>
    <row r="13" spans="1:23" s="37" customFormat="1" hidden="1" x14ac:dyDescent="0.2">
      <c r="B13" s="3" t="s">
        <v>338</v>
      </c>
      <c r="C13" s="935">
        <v>0</v>
      </c>
      <c r="D13" s="935">
        <v>0</v>
      </c>
      <c r="E13" s="935">
        <v>0</v>
      </c>
      <c r="F13" s="935">
        <v>0</v>
      </c>
      <c r="G13" s="935">
        <v>0</v>
      </c>
      <c r="H13" s="935">
        <v>0</v>
      </c>
      <c r="I13" s="935">
        <v>0</v>
      </c>
      <c r="J13" s="935">
        <v>0</v>
      </c>
      <c r="K13" s="935">
        <v>0</v>
      </c>
      <c r="L13" s="935">
        <v>0</v>
      </c>
      <c r="M13" s="935">
        <v>0</v>
      </c>
      <c r="N13" s="935">
        <v>0</v>
      </c>
      <c r="O13" s="935">
        <v>0</v>
      </c>
      <c r="P13" s="935">
        <v>0</v>
      </c>
      <c r="Q13" s="935">
        <v>0</v>
      </c>
      <c r="R13" s="935">
        <v>0</v>
      </c>
      <c r="S13" s="935">
        <v>0</v>
      </c>
      <c r="T13" s="935" t="str">
        <f t="shared" si="0"/>
        <v>Other Taxes</v>
      </c>
      <c r="U13" s="523">
        <f t="shared" si="1"/>
        <v>0</v>
      </c>
      <c r="W13" s="519"/>
    </row>
    <row r="14" spans="1:23" s="37" customFormat="1" hidden="1" x14ac:dyDescent="0.2">
      <c r="B14" s="3" t="s">
        <v>281</v>
      </c>
      <c r="C14" s="935">
        <v>0</v>
      </c>
      <c r="D14" s="935">
        <v>0</v>
      </c>
      <c r="E14" s="935">
        <v>0</v>
      </c>
      <c r="F14" s="935">
        <v>0</v>
      </c>
      <c r="G14" s="935">
        <v>0</v>
      </c>
      <c r="H14" s="935">
        <v>0</v>
      </c>
      <c r="I14" s="935">
        <v>0</v>
      </c>
      <c r="J14" s="935">
        <v>0</v>
      </c>
      <c r="K14" s="935">
        <v>0</v>
      </c>
      <c r="L14" s="935">
        <v>0</v>
      </c>
      <c r="M14" s="935">
        <v>0</v>
      </c>
      <c r="N14" s="935">
        <v>0</v>
      </c>
      <c r="O14" s="935">
        <v>0</v>
      </c>
      <c r="P14" s="935">
        <v>0</v>
      </c>
      <c r="Q14" s="935">
        <v>0</v>
      </c>
      <c r="R14" s="935">
        <v>0</v>
      </c>
      <c r="S14" s="935">
        <v>0</v>
      </c>
      <c r="T14" s="935" t="str">
        <f t="shared" si="0"/>
        <v>Boat Registration</v>
      </c>
      <c r="U14" s="523">
        <f t="shared" si="1"/>
        <v>0</v>
      </c>
      <c r="W14" s="519"/>
    </row>
    <row r="15" spans="1:23" s="37" customFormat="1" x14ac:dyDescent="0.2">
      <c r="B15" s="3" t="s">
        <v>227</v>
      </c>
      <c r="C15" s="935">
        <v>0</v>
      </c>
      <c r="D15" s="935">
        <v>0</v>
      </c>
      <c r="E15" s="935">
        <v>0</v>
      </c>
      <c r="F15" s="935">
        <v>0</v>
      </c>
      <c r="G15" s="935">
        <v>0</v>
      </c>
      <c r="H15" s="935">
        <v>0</v>
      </c>
      <c r="I15" s="935">
        <v>0</v>
      </c>
      <c r="J15" s="935">
        <v>0</v>
      </c>
      <c r="K15" s="935">
        <v>0</v>
      </c>
      <c r="L15" s="935">
        <v>0</v>
      </c>
      <c r="M15" s="935">
        <v>360000</v>
      </c>
      <c r="N15" s="935">
        <v>0</v>
      </c>
      <c r="O15" s="935">
        <v>0</v>
      </c>
      <c r="P15" s="935">
        <v>0</v>
      </c>
      <c r="Q15" s="935">
        <v>0</v>
      </c>
      <c r="R15" s="935">
        <v>0</v>
      </c>
      <c r="S15" s="935">
        <v>0</v>
      </c>
      <c r="T15" s="935" t="str">
        <f t="shared" si="0"/>
        <v>Residential Construction Tax</v>
      </c>
      <c r="U15" s="523">
        <f t="shared" si="1"/>
        <v>360000</v>
      </c>
      <c r="W15" s="519"/>
    </row>
    <row r="16" spans="1:23" s="37" customFormat="1" hidden="1" x14ac:dyDescent="0.2">
      <c r="B16" s="3" t="s">
        <v>282</v>
      </c>
      <c r="C16" s="935">
        <v>0</v>
      </c>
      <c r="D16" s="935">
        <v>0</v>
      </c>
      <c r="E16" s="935">
        <v>0</v>
      </c>
      <c r="F16" s="935">
        <v>0</v>
      </c>
      <c r="G16" s="935">
        <v>0</v>
      </c>
      <c r="H16" s="935">
        <v>0</v>
      </c>
      <c r="I16" s="935">
        <v>0</v>
      </c>
      <c r="J16" s="935">
        <v>0</v>
      </c>
      <c r="K16" s="935">
        <v>0</v>
      </c>
      <c r="L16" s="935">
        <v>0</v>
      </c>
      <c r="M16" s="935">
        <v>0</v>
      </c>
      <c r="N16" s="935">
        <v>0</v>
      </c>
      <c r="O16" s="935">
        <v>0</v>
      </c>
      <c r="P16" s="935">
        <v>0</v>
      </c>
      <c r="Q16" s="935">
        <v>0</v>
      </c>
      <c r="R16" s="935">
        <v>0</v>
      </c>
      <c r="S16" s="935">
        <v>0</v>
      </c>
      <c r="T16" s="935" t="str">
        <f t="shared" si="0"/>
        <v>Tuition</v>
      </c>
      <c r="U16" s="523">
        <f t="shared" si="1"/>
        <v>0</v>
      </c>
      <c r="W16" s="519"/>
    </row>
    <row r="17" spans="1:23" s="37" customFormat="1" hidden="1" x14ac:dyDescent="0.2">
      <c r="B17" s="3" t="s">
        <v>143</v>
      </c>
      <c r="C17" s="935">
        <v>0</v>
      </c>
      <c r="D17" s="935">
        <v>0</v>
      </c>
      <c r="E17" s="935">
        <v>0</v>
      </c>
      <c r="F17" s="935">
        <v>0</v>
      </c>
      <c r="G17" s="935">
        <v>0</v>
      </c>
      <c r="H17" s="935">
        <v>0</v>
      </c>
      <c r="I17" s="935">
        <v>0</v>
      </c>
      <c r="J17" s="935">
        <v>0</v>
      </c>
      <c r="K17" s="935">
        <v>0</v>
      </c>
      <c r="L17" s="935">
        <v>0</v>
      </c>
      <c r="M17" s="935">
        <v>0</v>
      </c>
      <c r="N17" s="935">
        <v>0</v>
      </c>
      <c r="O17" s="935">
        <v>0</v>
      </c>
      <c r="P17" s="935">
        <v>0</v>
      </c>
      <c r="Q17" s="935">
        <v>0</v>
      </c>
      <c r="R17" s="935">
        <v>0</v>
      </c>
      <c r="S17" s="935">
        <v>0</v>
      </c>
      <c r="T17" s="935" t="str">
        <f t="shared" si="0"/>
        <v>Summer School</v>
      </c>
      <c r="U17" s="523">
        <f t="shared" si="1"/>
        <v>0</v>
      </c>
      <c r="W17" s="519"/>
    </row>
    <row r="18" spans="1:23" s="37" customFormat="1" hidden="1" x14ac:dyDescent="0.2">
      <c r="B18" s="3" t="s">
        <v>283</v>
      </c>
      <c r="C18" s="935">
        <v>0</v>
      </c>
      <c r="D18" s="935">
        <v>0</v>
      </c>
      <c r="E18" s="935">
        <v>0</v>
      </c>
      <c r="F18" s="935">
        <v>0</v>
      </c>
      <c r="G18" s="935">
        <v>0</v>
      </c>
      <c r="H18" s="935">
        <v>0</v>
      </c>
      <c r="I18" s="935">
        <v>0</v>
      </c>
      <c r="J18" s="935">
        <v>0</v>
      </c>
      <c r="K18" s="935">
        <v>0</v>
      </c>
      <c r="L18" s="935">
        <v>0</v>
      </c>
      <c r="M18" s="935">
        <v>0</v>
      </c>
      <c r="N18" s="935">
        <v>0</v>
      </c>
      <c r="O18" s="935">
        <v>0</v>
      </c>
      <c r="P18" s="935">
        <v>0</v>
      </c>
      <c r="Q18" s="935">
        <v>0</v>
      </c>
      <c r="R18" s="935">
        <v>0</v>
      </c>
      <c r="S18" s="935">
        <v>0</v>
      </c>
      <c r="T18" s="935" t="str">
        <f t="shared" si="0"/>
        <v>Transportation Fees</v>
      </c>
      <c r="U18" s="523">
        <f t="shared" si="1"/>
        <v>0</v>
      </c>
      <c r="W18" s="519"/>
    </row>
    <row r="19" spans="1:23" s="37" customFormat="1" x14ac:dyDescent="0.2">
      <c r="B19" s="3" t="s">
        <v>284</v>
      </c>
      <c r="C19" s="935">
        <v>100000</v>
      </c>
      <c r="D19" s="935">
        <v>1079599</v>
      </c>
      <c r="E19" s="935">
        <v>0</v>
      </c>
      <c r="F19" s="935">
        <v>0</v>
      </c>
      <c r="G19" s="935">
        <v>0</v>
      </c>
      <c r="H19" s="935">
        <v>0</v>
      </c>
      <c r="I19" s="935">
        <v>0</v>
      </c>
      <c r="J19" s="935">
        <v>0</v>
      </c>
      <c r="K19" s="935">
        <v>2500</v>
      </c>
      <c r="L19" s="935">
        <v>0</v>
      </c>
      <c r="M19" s="935">
        <v>10000</v>
      </c>
      <c r="N19" s="935">
        <v>0</v>
      </c>
      <c r="O19" s="935">
        <v>2400</v>
      </c>
      <c r="P19" s="935">
        <v>30000</v>
      </c>
      <c r="Q19" s="935">
        <v>2000</v>
      </c>
      <c r="R19" s="935">
        <v>6000</v>
      </c>
      <c r="S19" s="935">
        <v>0</v>
      </c>
      <c r="T19" s="935" t="str">
        <f t="shared" si="0"/>
        <v>Earnings on Investments</v>
      </c>
      <c r="U19" s="523">
        <f t="shared" si="1"/>
        <v>1232499</v>
      </c>
      <c r="W19" s="519"/>
    </row>
    <row r="20" spans="1:23" s="37" customFormat="1" hidden="1" x14ac:dyDescent="0.2">
      <c r="B20" s="3" t="s">
        <v>651</v>
      </c>
      <c r="C20" s="935">
        <v>0</v>
      </c>
      <c r="D20" s="935">
        <v>0</v>
      </c>
      <c r="E20" s="935">
        <v>0</v>
      </c>
      <c r="F20" s="935">
        <v>0</v>
      </c>
      <c r="G20" s="935">
        <v>0</v>
      </c>
      <c r="H20" s="935">
        <v>0</v>
      </c>
      <c r="I20" s="935">
        <v>0</v>
      </c>
      <c r="J20" s="935">
        <v>0</v>
      </c>
      <c r="K20" s="935">
        <v>0</v>
      </c>
      <c r="L20" s="935">
        <v>0</v>
      </c>
      <c r="M20" s="935">
        <v>0</v>
      </c>
      <c r="N20" s="935">
        <v>0</v>
      </c>
      <c r="O20" s="935">
        <v>0</v>
      </c>
      <c r="P20" s="935">
        <v>0</v>
      </c>
      <c r="Q20" s="935">
        <v>0</v>
      </c>
      <c r="R20" s="935">
        <v>0</v>
      </c>
      <c r="S20" s="935">
        <v>0</v>
      </c>
      <c r="T20" s="935" t="str">
        <f t="shared" si="0"/>
        <v>Interest</v>
      </c>
      <c r="U20" s="523">
        <f t="shared" si="1"/>
        <v>0</v>
      </c>
      <c r="W20" s="519"/>
    </row>
    <row r="21" spans="1:23" s="37" customFormat="1" hidden="1" x14ac:dyDescent="0.2">
      <c r="B21" s="3" t="s">
        <v>652</v>
      </c>
      <c r="C21" s="935">
        <v>0</v>
      </c>
      <c r="D21" s="935">
        <v>0</v>
      </c>
      <c r="E21" s="935">
        <v>0</v>
      </c>
      <c r="F21" s="935">
        <v>0</v>
      </c>
      <c r="G21" s="935">
        <v>0</v>
      </c>
      <c r="H21" s="935">
        <v>0</v>
      </c>
      <c r="I21" s="935">
        <v>0</v>
      </c>
      <c r="J21" s="935">
        <v>0</v>
      </c>
      <c r="K21" s="935">
        <v>0</v>
      </c>
      <c r="L21" s="935">
        <v>0</v>
      </c>
      <c r="M21" s="935">
        <v>0</v>
      </c>
      <c r="N21" s="935">
        <v>0</v>
      </c>
      <c r="O21" s="935">
        <v>0</v>
      </c>
      <c r="P21" s="935">
        <v>0</v>
      </c>
      <c r="Q21" s="935">
        <v>0</v>
      </c>
      <c r="R21" s="935">
        <v>0</v>
      </c>
      <c r="S21" s="935">
        <v>0</v>
      </c>
      <c r="T21" s="935" t="str">
        <f t="shared" si="0"/>
        <v>Dividends</v>
      </c>
      <c r="U21" s="523">
        <f t="shared" si="1"/>
        <v>0</v>
      </c>
      <c r="W21" s="519"/>
    </row>
    <row r="22" spans="1:23" s="37" customFormat="1" hidden="1" x14ac:dyDescent="0.2">
      <c r="B22" s="3" t="s">
        <v>653</v>
      </c>
      <c r="C22" s="935">
        <v>0</v>
      </c>
      <c r="D22" s="935">
        <v>0</v>
      </c>
      <c r="E22" s="935">
        <v>0</v>
      </c>
      <c r="F22" s="935">
        <v>0</v>
      </c>
      <c r="G22" s="935">
        <v>0</v>
      </c>
      <c r="H22" s="935">
        <v>0</v>
      </c>
      <c r="I22" s="935">
        <v>0</v>
      </c>
      <c r="J22" s="935">
        <v>0</v>
      </c>
      <c r="K22" s="935">
        <v>0</v>
      </c>
      <c r="L22" s="935">
        <v>0</v>
      </c>
      <c r="M22" s="935">
        <v>0</v>
      </c>
      <c r="N22" s="935">
        <v>0</v>
      </c>
      <c r="O22" s="935">
        <v>0</v>
      </c>
      <c r="P22" s="935">
        <v>0</v>
      </c>
      <c r="Q22" s="935">
        <v>0</v>
      </c>
      <c r="R22" s="935">
        <v>0</v>
      </c>
      <c r="S22" s="935">
        <v>0</v>
      </c>
      <c r="T22" s="935" t="str">
        <f t="shared" si="0"/>
        <v>Unrealized Gain/Losses</v>
      </c>
      <c r="U22" s="523">
        <f t="shared" si="1"/>
        <v>0</v>
      </c>
      <c r="W22" s="519"/>
    </row>
    <row r="23" spans="1:23" s="37" customFormat="1" hidden="1" x14ac:dyDescent="0.2">
      <c r="B23" s="3" t="s">
        <v>654</v>
      </c>
      <c r="C23" s="935">
        <v>0</v>
      </c>
      <c r="D23" s="935">
        <v>0</v>
      </c>
      <c r="E23" s="935">
        <v>0</v>
      </c>
      <c r="F23" s="935">
        <v>0</v>
      </c>
      <c r="G23" s="935">
        <v>0</v>
      </c>
      <c r="H23" s="935">
        <v>0</v>
      </c>
      <c r="I23" s="935">
        <v>0</v>
      </c>
      <c r="J23" s="935">
        <v>0</v>
      </c>
      <c r="K23" s="935">
        <v>0</v>
      </c>
      <c r="L23" s="935">
        <v>0</v>
      </c>
      <c r="M23" s="935">
        <v>0</v>
      </c>
      <c r="N23" s="935">
        <v>0</v>
      </c>
      <c r="O23" s="935">
        <v>0</v>
      </c>
      <c r="P23" s="935">
        <v>0</v>
      </c>
      <c r="Q23" s="935">
        <v>0</v>
      </c>
      <c r="R23" s="935">
        <v>0</v>
      </c>
      <c r="S23" s="935">
        <v>0</v>
      </c>
      <c r="T23" s="935" t="str">
        <f t="shared" si="0"/>
        <v>After School Program Fees</v>
      </c>
      <c r="U23" s="523">
        <f t="shared" si="1"/>
        <v>0</v>
      </c>
      <c r="W23" s="519"/>
    </row>
    <row r="24" spans="1:23" s="37" customFormat="1" hidden="1" x14ac:dyDescent="0.2">
      <c r="B24" s="3" t="s">
        <v>552</v>
      </c>
      <c r="C24" s="935">
        <v>0</v>
      </c>
      <c r="D24" s="935">
        <v>0</v>
      </c>
      <c r="E24" s="935">
        <v>0</v>
      </c>
      <c r="F24" s="935">
        <v>0</v>
      </c>
      <c r="G24" s="935">
        <v>0</v>
      </c>
      <c r="H24" s="935">
        <v>0</v>
      </c>
      <c r="I24" s="935">
        <v>0</v>
      </c>
      <c r="J24" s="935">
        <v>0</v>
      </c>
      <c r="K24" s="935">
        <v>0</v>
      </c>
      <c r="L24" s="935">
        <v>0</v>
      </c>
      <c r="M24" s="935">
        <v>0</v>
      </c>
      <c r="N24" s="935">
        <v>0</v>
      </c>
      <c r="O24" s="935">
        <v>0</v>
      </c>
      <c r="P24" s="935">
        <v>0</v>
      </c>
      <c r="Q24" s="935">
        <v>0</v>
      </c>
      <c r="R24" s="935">
        <v>0</v>
      </c>
      <c r="S24" s="935">
        <v>0</v>
      </c>
      <c r="T24" s="935" t="str">
        <f t="shared" si="0"/>
        <v>Direct District Activities Revenue</v>
      </c>
      <c r="U24" s="523">
        <f t="shared" si="1"/>
        <v>0</v>
      </c>
      <c r="W24" s="519"/>
    </row>
    <row r="25" spans="1:23" s="37" customFormat="1" x14ac:dyDescent="0.2">
      <c r="B25" s="3" t="s">
        <v>286</v>
      </c>
      <c r="C25" s="935">
        <v>0</v>
      </c>
      <c r="D25" s="935">
        <v>0</v>
      </c>
      <c r="E25" s="935">
        <v>0</v>
      </c>
      <c r="F25" s="935">
        <v>0</v>
      </c>
      <c r="G25" s="935">
        <v>0</v>
      </c>
      <c r="H25" s="935">
        <v>0</v>
      </c>
      <c r="I25" s="935">
        <v>0</v>
      </c>
      <c r="J25" s="935">
        <v>0</v>
      </c>
      <c r="K25" s="935">
        <v>150000</v>
      </c>
      <c r="L25" s="935">
        <v>0</v>
      </c>
      <c r="M25" s="935">
        <v>0</v>
      </c>
      <c r="N25" s="935">
        <v>0</v>
      </c>
      <c r="O25" s="935">
        <v>0</v>
      </c>
      <c r="P25" s="935">
        <v>0</v>
      </c>
      <c r="Q25" s="935">
        <v>0</v>
      </c>
      <c r="R25" s="935">
        <v>0</v>
      </c>
      <c r="S25" s="935">
        <v>0</v>
      </c>
      <c r="T25" s="935" t="str">
        <f t="shared" si="0"/>
        <v>Daily Sales - Food Services</v>
      </c>
      <c r="U25" s="523">
        <f t="shared" si="1"/>
        <v>150000</v>
      </c>
      <c r="W25" s="519"/>
    </row>
    <row r="26" spans="1:23" s="37" customFormat="1" x14ac:dyDescent="0.2">
      <c r="A26" s="37">
        <v>1900</v>
      </c>
      <c r="B26" s="3" t="s">
        <v>280</v>
      </c>
      <c r="C26" s="935">
        <v>0</v>
      </c>
      <c r="D26" s="935">
        <v>0</v>
      </c>
      <c r="E26" s="935">
        <v>0</v>
      </c>
      <c r="F26" s="935">
        <v>0</v>
      </c>
      <c r="G26" s="935">
        <v>0</v>
      </c>
      <c r="H26" s="935">
        <v>0</v>
      </c>
      <c r="I26" s="935">
        <v>0</v>
      </c>
      <c r="J26" s="935">
        <v>0</v>
      </c>
      <c r="K26" s="935">
        <v>0</v>
      </c>
      <c r="L26" s="935">
        <v>0</v>
      </c>
      <c r="M26" s="935">
        <v>0</v>
      </c>
      <c r="N26" s="935">
        <v>0</v>
      </c>
      <c r="O26" s="935">
        <v>0</v>
      </c>
      <c r="P26" s="935">
        <v>0</v>
      </c>
      <c r="Q26" s="935">
        <v>10000000</v>
      </c>
      <c r="R26" s="935">
        <v>210000</v>
      </c>
      <c r="S26" s="935">
        <v>0</v>
      </c>
      <c r="T26" s="935" t="str">
        <f t="shared" si="0"/>
        <v>Other Revenues</v>
      </c>
      <c r="U26" s="523">
        <f t="shared" si="1"/>
        <v>10210000</v>
      </c>
      <c r="W26" s="519"/>
    </row>
    <row r="27" spans="1:23" s="37" customFormat="1" hidden="1" x14ac:dyDescent="0.2">
      <c r="B27" s="3" t="s">
        <v>288</v>
      </c>
      <c r="C27" s="935">
        <v>0</v>
      </c>
      <c r="D27" s="935">
        <v>0</v>
      </c>
      <c r="E27" s="935">
        <v>0</v>
      </c>
      <c r="F27" s="935">
        <v>0</v>
      </c>
      <c r="G27" s="935">
        <v>0</v>
      </c>
      <c r="H27" s="935">
        <v>0</v>
      </c>
      <c r="I27" s="935">
        <v>0</v>
      </c>
      <c r="J27" s="935">
        <v>0</v>
      </c>
      <c r="K27" s="935">
        <v>0</v>
      </c>
      <c r="L27" s="935">
        <v>0</v>
      </c>
      <c r="M27" s="935">
        <v>0</v>
      </c>
      <c r="N27" s="935">
        <v>0</v>
      </c>
      <c r="O27" s="935">
        <v>0</v>
      </c>
      <c r="P27" s="935">
        <v>0</v>
      </c>
      <c r="Q27" s="935">
        <v>0</v>
      </c>
      <c r="R27" s="935">
        <v>0</v>
      </c>
      <c r="S27" s="935">
        <v>0</v>
      </c>
      <c r="T27" s="935" t="str">
        <f t="shared" si="0"/>
        <v>Donations</v>
      </c>
      <c r="U27" s="523">
        <f t="shared" si="1"/>
        <v>0</v>
      </c>
      <c r="W27" s="519"/>
    </row>
    <row r="28" spans="1:23" s="37" customFormat="1" x14ac:dyDescent="0.2">
      <c r="B28" s="3" t="s">
        <v>287</v>
      </c>
      <c r="C28" s="935">
        <v>0</v>
      </c>
      <c r="D28" s="935">
        <v>0</v>
      </c>
      <c r="E28" s="935">
        <v>0</v>
      </c>
      <c r="F28" s="935">
        <v>0</v>
      </c>
      <c r="G28" s="935">
        <v>0</v>
      </c>
      <c r="H28" s="935">
        <v>0</v>
      </c>
      <c r="I28" s="935">
        <v>0</v>
      </c>
      <c r="J28" s="935">
        <v>0</v>
      </c>
      <c r="K28" s="935">
        <v>0</v>
      </c>
      <c r="L28" s="935">
        <v>0</v>
      </c>
      <c r="M28" s="935">
        <v>0</v>
      </c>
      <c r="N28" s="935">
        <v>76488</v>
      </c>
      <c r="O28" s="935">
        <v>20000</v>
      </c>
      <c r="P28" s="935">
        <v>0</v>
      </c>
      <c r="Q28" s="935">
        <v>0</v>
      </c>
      <c r="R28" s="935">
        <v>0</v>
      </c>
      <c r="S28" s="935">
        <v>0</v>
      </c>
      <c r="T28" s="935" t="str">
        <f t="shared" si="0"/>
        <v>Rentals</v>
      </c>
      <c r="U28" s="523">
        <f t="shared" si="1"/>
        <v>96488</v>
      </c>
      <c r="W28" s="519"/>
    </row>
    <row r="29" spans="1:23" s="37" customFormat="1" hidden="1" x14ac:dyDescent="0.2">
      <c r="B29" s="3" t="s">
        <v>598</v>
      </c>
      <c r="C29" s="935">
        <v>0</v>
      </c>
      <c r="D29" s="935">
        <v>0</v>
      </c>
      <c r="E29" s="935">
        <v>0</v>
      </c>
      <c r="F29" s="935">
        <v>0</v>
      </c>
      <c r="G29" s="935">
        <v>0</v>
      </c>
      <c r="H29" s="935">
        <v>0</v>
      </c>
      <c r="I29" s="935">
        <v>0</v>
      </c>
      <c r="J29" s="935">
        <v>0</v>
      </c>
      <c r="K29" s="935">
        <v>0</v>
      </c>
      <c r="L29" s="935">
        <v>0</v>
      </c>
      <c r="M29" s="935">
        <v>0</v>
      </c>
      <c r="N29" s="935">
        <v>0</v>
      </c>
      <c r="O29" s="935">
        <v>0</v>
      </c>
      <c r="P29" s="935">
        <v>0</v>
      </c>
      <c r="Q29" s="935">
        <v>0</v>
      </c>
      <c r="R29" s="935">
        <v>0</v>
      </c>
      <c r="S29" s="935">
        <v>0</v>
      </c>
      <c r="T29" s="935" t="str">
        <f t="shared" si="0"/>
        <v>Services Provided Other Govts</v>
      </c>
      <c r="U29" s="523">
        <f t="shared" si="1"/>
        <v>0</v>
      </c>
      <c r="W29" s="519"/>
    </row>
    <row r="30" spans="1:23" s="37" customFormat="1" x14ac:dyDescent="0.2">
      <c r="B30" s="3" t="s">
        <v>289</v>
      </c>
      <c r="C30" s="935">
        <v>100000</v>
      </c>
      <c r="D30" s="935">
        <v>0</v>
      </c>
      <c r="E30" s="935">
        <v>0</v>
      </c>
      <c r="F30" s="935">
        <v>0</v>
      </c>
      <c r="G30" s="935">
        <v>0</v>
      </c>
      <c r="H30" s="935">
        <v>0</v>
      </c>
      <c r="I30" s="935">
        <v>0</v>
      </c>
      <c r="J30" s="935">
        <v>0</v>
      </c>
      <c r="K30" s="935">
        <v>0</v>
      </c>
      <c r="L30" s="935">
        <v>0</v>
      </c>
      <c r="M30" s="935">
        <v>0</v>
      </c>
      <c r="N30" s="935">
        <v>0</v>
      </c>
      <c r="O30" s="935">
        <v>0</v>
      </c>
      <c r="P30" s="935">
        <v>0</v>
      </c>
      <c r="Q30" s="935">
        <v>0</v>
      </c>
      <c r="R30" s="935">
        <v>0</v>
      </c>
      <c r="S30" s="935">
        <v>0</v>
      </c>
      <c r="T30" s="935" t="str">
        <f t="shared" si="0"/>
        <v>Miscellaneous</v>
      </c>
      <c r="U30" s="523">
        <f t="shared" si="1"/>
        <v>100000</v>
      </c>
      <c r="W30" s="519"/>
    </row>
    <row r="31" spans="1:23" s="37" customFormat="1" hidden="1" x14ac:dyDescent="0.2">
      <c r="B31" s="3" t="s">
        <v>681</v>
      </c>
      <c r="C31" s="935">
        <v>0</v>
      </c>
      <c r="D31" s="935">
        <v>0</v>
      </c>
      <c r="E31" s="935">
        <v>0</v>
      </c>
      <c r="F31" s="935">
        <v>0</v>
      </c>
      <c r="G31" s="935">
        <v>0</v>
      </c>
      <c r="H31" s="935">
        <v>0</v>
      </c>
      <c r="I31" s="935">
        <v>0</v>
      </c>
      <c r="J31" s="935">
        <v>0</v>
      </c>
      <c r="K31" s="935">
        <v>0</v>
      </c>
      <c r="L31" s="935">
        <v>0</v>
      </c>
      <c r="M31" s="935">
        <v>0</v>
      </c>
      <c r="N31" s="935">
        <v>0</v>
      </c>
      <c r="O31" s="935">
        <v>0</v>
      </c>
      <c r="P31" s="935">
        <v>0</v>
      </c>
      <c r="Q31" s="935">
        <v>0</v>
      </c>
      <c r="R31" s="935">
        <v>0</v>
      </c>
      <c r="S31" s="935">
        <v>0</v>
      </c>
      <c r="T31" s="935" t="str">
        <f t="shared" si="0"/>
        <v>Local Safety Grant</v>
      </c>
      <c r="U31" s="523">
        <f t="shared" si="1"/>
        <v>0</v>
      </c>
      <c r="W31" s="519"/>
    </row>
    <row r="32" spans="1:23" s="37" customFormat="1" hidden="1" x14ac:dyDescent="0.2">
      <c r="B32" s="3" t="s">
        <v>656</v>
      </c>
      <c r="C32" s="935">
        <v>0</v>
      </c>
      <c r="D32" s="935">
        <v>0</v>
      </c>
      <c r="E32" s="935">
        <v>0</v>
      </c>
      <c r="F32" s="935">
        <v>0</v>
      </c>
      <c r="G32" s="935">
        <v>0</v>
      </c>
      <c r="H32" s="935">
        <v>0</v>
      </c>
      <c r="I32" s="935">
        <v>0</v>
      </c>
      <c r="J32" s="935">
        <v>0</v>
      </c>
      <c r="K32" s="935">
        <v>0</v>
      </c>
      <c r="L32" s="935">
        <v>0</v>
      </c>
      <c r="M32" s="935">
        <v>0</v>
      </c>
      <c r="N32" s="935">
        <v>0</v>
      </c>
      <c r="O32" s="935">
        <v>0</v>
      </c>
      <c r="P32" s="935">
        <v>0</v>
      </c>
      <c r="Q32" s="935">
        <v>0</v>
      </c>
      <c r="R32" s="935">
        <v>0</v>
      </c>
      <c r="S32" s="935">
        <v>0</v>
      </c>
      <c r="T32" s="935" t="str">
        <f t="shared" si="0"/>
        <v>Use of Buildings</v>
      </c>
      <c r="U32" s="523">
        <f t="shared" si="1"/>
        <v>0</v>
      </c>
      <c r="W32" s="519"/>
    </row>
    <row r="33" spans="2:23" s="37" customFormat="1" hidden="1" x14ac:dyDescent="0.2">
      <c r="B33" s="3" t="s">
        <v>290</v>
      </c>
      <c r="C33" s="935">
        <v>0</v>
      </c>
      <c r="D33" s="935">
        <v>0</v>
      </c>
      <c r="E33" s="935">
        <v>0</v>
      </c>
      <c r="F33" s="935">
        <v>0</v>
      </c>
      <c r="G33" s="935">
        <v>0</v>
      </c>
      <c r="H33" s="935">
        <v>0</v>
      </c>
      <c r="I33" s="935">
        <v>0</v>
      </c>
      <c r="J33" s="935">
        <v>0</v>
      </c>
      <c r="K33" s="935">
        <v>0</v>
      </c>
      <c r="L33" s="935">
        <v>0</v>
      </c>
      <c r="M33" s="935">
        <v>0</v>
      </c>
      <c r="N33" s="935">
        <v>0</v>
      </c>
      <c r="O33" s="935">
        <v>0</v>
      </c>
      <c r="P33" s="935">
        <v>0</v>
      </c>
      <c r="Q33" s="935">
        <v>0</v>
      </c>
      <c r="R33" s="935">
        <v>0</v>
      </c>
      <c r="S33" s="935">
        <v>0</v>
      </c>
      <c r="T33" s="935" t="str">
        <f t="shared" si="0"/>
        <v>Indirect Costs</v>
      </c>
      <c r="U33" s="523">
        <f t="shared" si="1"/>
        <v>0</v>
      </c>
      <c r="W33" s="519"/>
    </row>
    <row r="34" spans="2:23" s="37" customFormat="1" hidden="1" x14ac:dyDescent="0.2">
      <c r="B34" s="3"/>
      <c r="C34" s="935"/>
      <c r="D34" s="935"/>
      <c r="E34" s="935"/>
      <c r="F34" s="935"/>
      <c r="G34" s="935"/>
      <c r="H34" s="935"/>
      <c r="I34" s="935"/>
      <c r="J34" s="935"/>
      <c r="K34" s="935"/>
      <c r="L34" s="935"/>
      <c r="M34" s="935"/>
      <c r="N34" s="935"/>
      <c r="O34" s="935"/>
      <c r="P34" s="935"/>
      <c r="Q34" s="935"/>
      <c r="R34" s="935"/>
      <c r="S34" s="939"/>
      <c r="T34" s="905"/>
      <c r="U34" s="3"/>
      <c r="W34" s="519"/>
    </row>
    <row r="35" spans="2:23" s="2" customFormat="1" x14ac:dyDescent="0.2">
      <c r="B35" s="39" t="s">
        <v>124</v>
      </c>
      <c r="C35" s="931">
        <f>SUM(C4:C34)</f>
        <v>24183120</v>
      </c>
      <c r="D35" s="931">
        <f t="shared" ref="D35:S35" si="3">SUM(D4:D34)</f>
        <v>9486787</v>
      </c>
      <c r="E35" s="931">
        <f t="shared" si="3"/>
        <v>0</v>
      </c>
      <c r="F35" s="931">
        <f t="shared" si="3"/>
        <v>0</v>
      </c>
      <c r="G35" s="931">
        <f t="shared" si="3"/>
        <v>0</v>
      </c>
      <c r="H35" s="931">
        <f t="shared" si="3"/>
        <v>0</v>
      </c>
      <c r="I35" s="931">
        <f t="shared" si="3"/>
        <v>0</v>
      </c>
      <c r="J35" s="931">
        <f t="shared" si="3"/>
        <v>0</v>
      </c>
      <c r="K35" s="931">
        <f t="shared" si="3"/>
        <v>152500</v>
      </c>
      <c r="L35" s="931">
        <f t="shared" si="3"/>
        <v>770048</v>
      </c>
      <c r="M35" s="931">
        <f t="shared" si="3"/>
        <v>370000</v>
      </c>
      <c r="N35" s="931">
        <f t="shared" si="3"/>
        <v>76488</v>
      </c>
      <c r="O35" s="931">
        <f t="shared" si="3"/>
        <v>22400</v>
      </c>
      <c r="P35" s="931">
        <f t="shared" si="3"/>
        <v>30000</v>
      </c>
      <c r="Q35" s="931">
        <f t="shared" si="3"/>
        <v>10002000</v>
      </c>
      <c r="R35" s="931">
        <f t="shared" si="3"/>
        <v>216000</v>
      </c>
      <c r="S35" s="931">
        <f t="shared" si="3"/>
        <v>0</v>
      </c>
      <c r="T35" s="930">
        <f>SUM(C35:S35)</f>
        <v>45309343</v>
      </c>
      <c r="V35" s="20">
        <f>SUM(V5:V34)</f>
        <v>23983120</v>
      </c>
      <c r="W35" s="53"/>
    </row>
    <row r="36" spans="2:23" x14ac:dyDescent="0.2">
      <c r="B36" s="550"/>
      <c r="C36" s="935"/>
      <c r="D36" s="935"/>
      <c r="E36" s="935"/>
      <c r="F36" s="935"/>
      <c r="G36" s="935"/>
      <c r="H36" s="935"/>
      <c r="I36" s="935"/>
      <c r="J36" s="935"/>
      <c r="K36" s="935"/>
      <c r="L36" s="935"/>
      <c r="M36" s="935"/>
      <c r="N36" s="935"/>
      <c r="O36" s="935"/>
      <c r="P36" s="935"/>
      <c r="Q36" s="935"/>
      <c r="R36" s="935"/>
      <c r="S36" s="935"/>
      <c r="T36" s="939"/>
    </row>
    <row r="37" spans="2:23" x14ac:dyDescent="0.2">
      <c r="B37" s="3" t="s">
        <v>291</v>
      </c>
      <c r="C37" s="937">
        <v>27401048</v>
      </c>
      <c r="D37" s="937">
        <v>0</v>
      </c>
      <c r="E37" s="937">
        <v>0</v>
      </c>
      <c r="F37" s="937">
        <v>0</v>
      </c>
      <c r="G37" s="937">
        <v>0</v>
      </c>
      <c r="H37" s="937">
        <v>0</v>
      </c>
      <c r="I37" s="937">
        <v>0</v>
      </c>
      <c r="J37" s="937">
        <v>0</v>
      </c>
      <c r="K37" s="937">
        <v>0</v>
      </c>
      <c r="L37" s="937">
        <v>0</v>
      </c>
      <c r="M37" s="937">
        <v>0</v>
      </c>
      <c r="N37" s="937">
        <v>0</v>
      </c>
      <c r="O37" s="937">
        <v>0</v>
      </c>
      <c r="P37" s="937">
        <v>0</v>
      </c>
      <c r="Q37" s="937">
        <v>0</v>
      </c>
      <c r="R37" s="937">
        <v>0</v>
      </c>
      <c r="S37" s="937">
        <v>0</v>
      </c>
      <c r="T37" s="938" t="str">
        <f t="shared" ref="T37:T46" si="4">B37</f>
        <v>Distributive School Fund (DSA)</v>
      </c>
      <c r="U37" s="484">
        <f t="shared" ref="U37:U46" si="5">SUM(C37:S37)</f>
        <v>27401048</v>
      </c>
    </row>
    <row r="38" spans="2:23" hidden="1" x14ac:dyDescent="0.2">
      <c r="B38" s="3" t="s">
        <v>292</v>
      </c>
      <c r="C38" s="937">
        <v>0</v>
      </c>
      <c r="D38" s="937">
        <v>0</v>
      </c>
      <c r="E38" s="937">
        <v>0</v>
      </c>
      <c r="F38" s="937">
        <v>0</v>
      </c>
      <c r="G38" s="937">
        <v>0</v>
      </c>
      <c r="H38" s="937">
        <v>0</v>
      </c>
      <c r="I38" s="937">
        <v>0</v>
      </c>
      <c r="J38" s="937">
        <v>0</v>
      </c>
      <c r="K38" s="937">
        <v>0</v>
      </c>
      <c r="L38" s="937">
        <v>0</v>
      </c>
      <c r="M38" s="937">
        <v>0</v>
      </c>
      <c r="N38" s="937">
        <v>0</v>
      </c>
      <c r="O38" s="937">
        <v>0</v>
      </c>
      <c r="P38" s="937">
        <v>0</v>
      </c>
      <c r="Q38" s="937">
        <v>0</v>
      </c>
      <c r="R38" s="937">
        <v>0</v>
      </c>
      <c r="S38" s="937">
        <v>0</v>
      </c>
      <c r="T38" s="938" t="str">
        <f t="shared" si="4"/>
        <v>DSA Charter Reduction-Outside Revs</v>
      </c>
      <c r="U38" s="484">
        <f t="shared" si="5"/>
        <v>0</v>
      </c>
    </row>
    <row r="39" spans="2:23" x14ac:dyDescent="0.2">
      <c r="B39" s="3" t="s">
        <v>293</v>
      </c>
      <c r="C39" s="937">
        <v>0</v>
      </c>
      <c r="D39" s="937">
        <v>0</v>
      </c>
      <c r="E39" s="937">
        <v>0</v>
      </c>
      <c r="F39" s="937">
        <v>0</v>
      </c>
      <c r="G39" s="937">
        <v>0</v>
      </c>
      <c r="H39" s="937">
        <v>3378003</v>
      </c>
      <c r="I39" s="937">
        <v>0</v>
      </c>
      <c r="J39" s="937">
        <v>0</v>
      </c>
      <c r="K39" s="937">
        <v>0</v>
      </c>
      <c r="L39" s="937">
        <v>0</v>
      </c>
      <c r="M39" s="937">
        <v>0</v>
      </c>
      <c r="N39" s="937">
        <v>0</v>
      </c>
      <c r="O39" s="937">
        <v>0</v>
      </c>
      <c r="P39" s="937">
        <v>0</v>
      </c>
      <c r="Q39" s="937">
        <v>0</v>
      </c>
      <c r="R39" s="937">
        <v>0</v>
      </c>
      <c r="S39" s="937">
        <v>0</v>
      </c>
      <c r="T39" s="938" t="str">
        <f t="shared" si="4"/>
        <v>Special Education - DSA Funding</v>
      </c>
      <c r="U39" s="484">
        <f t="shared" si="5"/>
        <v>3378003</v>
      </c>
    </row>
    <row r="40" spans="2:23" hidden="1" x14ac:dyDescent="0.2">
      <c r="B40" s="3" t="s">
        <v>475</v>
      </c>
      <c r="C40" s="937">
        <v>0</v>
      </c>
      <c r="D40" s="937">
        <v>0</v>
      </c>
      <c r="E40" s="937">
        <v>0</v>
      </c>
      <c r="F40" s="937">
        <v>0</v>
      </c>
      <c r="G40" s="937">
        <v>0</v>
      </c>
      <c r="H40" s="937">
        <v>0</v>
      </c>
      <c r="I40" s="937">
        <v>0</v>
      </c>
      <c r="J40" s="937">
        <v>0</v>
      </c>
      <c r="K40" s="937">
        <v>0</v>
      </c>
      <c r="L40" s="937">
        <v>0</v>
      </c>
      <c r="M40" s="937">
        <v>0</v>
      </c>
      <c r="N40" s="937">
        <v>0</v>
      </c>
      <c r="O40" s="937">
        <v>0</v>
      </c>
      <c r="P40" s="937">
        <v>0</v>
      </c>
      <c r="Q40" s="937">
        <v>0</v>
      </c>
      <c r="R40" s="937">
        <v>0</v>
      </c>
      <c r="S40" s="937">
        <v>0</v>
      </c>
      <c r="T40" s="938" t="str">
        <f t="shared" si="4"/>
        <v>Counseling - DSA Funding</v>
      </c>
      <c r="U40" s="484">
        <f t="shared" si="5"/>
        <v>0</v>
      </c>
    </row>
    <row r="41" spans="2:23" hidden="1" x14ac:dyDescent="0.2">
      <c r="B41" s="3" t="s">
        <v>294</v>
      </c>
      <c r="C41" s="937">
        <v>0</v>
      </c>
      <c r="D41" s="937">
        <v>0</v>
      </c>
      <c r="E41" s="937">
        <v>0</v>
      </c>
      <c r="F41" s="937">
        <v>0</v>
      </c>
      <c r="G41" s="937">
        <v>0</v>
      </c>
      <c r="H41" s="937">
        <v>0</v>
      </c>
      <c r="I41" s="937">
        <v>0</v>
      </c>
      <c r="J41" s="937">
        <v>0</v>
      </c>
      <c r="K41" s="937">
        <v>0</v>
      </c>
      <c r="L41" s="937">
        <v>0</v>
      </c>
      <c r="M41" s="937">
        <v>0</v>
      </c>
      <c r="N41" s="937">
        <v>0</v>
      </c>
      <c r="O41" s="937">
        <v>0</v>
      </c>
      <c r="P41" s="937">
        <v>0</v>
      </c>
      <c r="Q41" s="937">
        <v>0</v>
      </c>
      <c r="R41" s="937">
        <v>0</v>
      </c>
      <c r="S41" s="937">
        <v>0</v>
      </c>
      <c r="T41" s="938" t="str">
        <f t="shared" si="4"/>
        <v>State Food Aid</v>
      </c>
      <c r="U41" s="484">
        <f t="shared" si="5"/>
        <v>0</v>
      </c>
    </row>
    <row r="42" spans="2:23" x14ac:dyDescent="0.2">
      <c r="B42" s="3" t="s">
        <v>295</v>
      </c>
      <c r="C42" s="937">
        <v>0</v>
      </c>
      <c r="D42" s="937">
        <v>0</v>
      </c>
      <c r="E42" s="937">
        <v>0</v>
      </c>
      <c r="F42" s="937">
        <f>5972857+50000</f>
        <v>6022857</v>
      </c>
      <c r="G42" s="937">
        <v>0</v>
      </c>
      <c r="H42" s="937">
        <v>0</v>
      </c>
      <c r="I42" s="937">
        <v>0</v>
      </c>
      <c r="J42" s="937">
        <v>0</v>
      </c>
      <c r="K42" s="937">
        <v>0</v>
      </c>
      <c r="L42" s="937">
        <v>0</v>
      </c>
      <c r="M42" s="937">
        <v>0</v>
      </c>
      <c r="N42" s="937">
        <v>0</v>
      </c>
      <c r="O42" s="937">
        <v>0</v>
      </c>
      <c r="P42" s="937">
        <v>0</v>
      </c>
      <c r="Q42" s="937">
        <v>0</v>
      </c>
      <c r="R42" s="937">
        <v>0</v>
      </c>
      <c r="S42" s="937">
        <v>0</v>
      </c>
      <c r="T42" s="938" t="str">
        <f t="shared" si="4"/>
        <v>Restricted Funding/Grants-in-aid rev</v>
      </c>
      <c r="U42" s="484">
        <f t="shared" si="5"/>
        <v>6022857</v>
      </c>
    </row>
    <row r="43" spans="2:23" x14ac:dyDescent="0.2">
      <c r="B43" s="3" t="s">
        <v>682</v>
      </c>
      <c r="C43" s="937">
        <v>0</v>
      </c>
      <c r="D43" s="937">
        <v>0</v>
      </c>
      <c r="E43" s="937">
        <v>0</v>
      </c>
      <c r="F43" s="937">
        <v>0</v>
      </c>
      <c r="G43" s="937">
        <v>227971</v>
      </c>
      <c r="H43" s="937">
        <v>0</v>
      </c>
      <c r="I43" s="937">
        <v>0</v>
      </c>
      <c r="J43" s="937">
        <v>0</v>
      </c>
      <c r="K43" s="937">
        <v>0</v>
      </c>
      <c r="L43" s="937">
        <v>0</v>
      </c>
      <c r="M43" s="937">
        <v>0</v>
      </c>
      <c r="N43" s="937">
        <v>0</v>
      </c>
      <c r="O43" s="937">
        <v>0</v>
      </c>
      <c r="P43" s="937">
        <v>0</v>
      </c>
      <c r="Q43" s="937">
        <v>0</v>
      </c>
      <c r="R43" s="937">
        <v>0</v>
      </c>
      <c r="S43" s="937">
        <v>0</v>
      </c>
      <c r="T43" s="938" t="str">
        <f t="shared" si="4"/>
        <v xml:space="preserve">Adult High School Diploma </v>
      </c>
      <c r="U43" s="484">
        <f t="shared" si="5"/>
        <v>227971</v>
      </c>
    </row>
    <row r="44" spans="2:23" hidden="1" x14ac:dyDescent="0.2">
      <c r="B44" s="3" t="s">
        <v>553</v>
      </c>
      <c r="C44" s="937">
        <v>0</v>
      </c>
      <c r="D44" s="937">
        <v>0</v>
      </c>
      <c r="E44" s="937">
        <v>0</v>
      </c>
      <c r="F44" s="937">
        <v>0</v>
      </c>
      <c r="G44" s="937">
        <v>0</v>
      </c>
      <c r="H44" s="937">
        <v>0</v>
      </c>
      <c r="I44" s="937">
        <v>0</v>
      </c>
      <c r="J44" s="937">
        <v>0</v>
      </c>
      <c r="K44" s="937">
        <v>0</v>
      </c>
      <c r="L44" s="937">
        <v>0</v>
      </c>
      <c r="M44" s="937">
        <v>0</v>
      </c>
      <c r="N44" s="937">
        <v>0</v>
      </c>
      <c r="O44" s="937">
        <v>0</v>
      </c>
      <c r="P44" s="937">
        <v>0</v>
      </c>
      <c r="Q44" s="937">
        <v>0</v>
      </c>
      <c r="R44" s="937">
        <v>0</v>
      </c>
      <c r="S44" s="937">
        <v>0</v>
      </c>
      <c r="T44" s="938" t="str">
        <f t="shared" si="4"/>
        <v>SB 178 NV Education Fund Plan</v>
      </c>
      <c r="U44" s="484">
        <f t="shared" si="5"/>
        <v>0</v>
      </c>
    </row>
    <row r="45" spans="2:23" x14ac:dyDescent="0.2">
      <c r="B45" s="3" t="s">
        <v>191</v>
      </c>
      <c r="C45" s="937">
        <v>0</v>
      </c>
      <c r="D45" s="937">
        <v>0</v>
      </c>
      <c r="E45" s="937">
        <v>703266</v>
      </c>
      <c r="F45" s="937">
        <v>0</v>
      </c>
      <c r="G45" s="937">
        <v>0</v>
      </c>
      <c r="H45" s="937">
        <v>0</v>
      </c>
      <c r="I45" s="937">
        <v>0</v>
      </c>
      <c r="J45" s="937">
        <v>0</v>
      </c>
      <c r="K45" s="937">
        <v>0</v>
      </c>
      <c r="L45" s="937">
        <v>0</v>
      </c>
      <c r="M45" s="937">
        <v>0</v>
      </c>
      <c r="N45" s="937">
        <v>0</v>
      </c>
      <c r="O45" s="937">
        <v>0</v>
      </c>
      <c r="P45" s="937">
        <v>0</v>
      </c>
      <c r="Q45" s="937">
        <v>0</v>
      </c>
      <c r="R45" s="937">
        <v>0</v>
      </c>
      <c r="S45" s="937">
        <v>0</v>
      </c>
      <c r="T45" s="938" t="str">
        <f t="shared" si="4"/>
        <v>Class Size Reduction</v>
      </c>
      <c r="U45" s="484">
        <f t="shared" si="5"/>
        <v>703266</v>
      </c>
    </row>
    <row r="46" spans="2:23" hidden="1" x14ac:dyDescent="0.2">
      <c r="B46" s="3" t="s">
        <v>386</v>
      </c>
      <c r="C46" s="937">
        <v>0</v>
      </c>
      <c r="D46" s="937">
        <v>0</v>
      </c>
      <c r="E46" s="937">
        <v>0</v>
      </c>
      <c r="F46" s="937">
        <v>0</v>
      </c>
      <c r="G46" s="937">
        <v>0</v>
      </c>
      <c r="H46" s="937">
        <v>0</v>
      </c>
      <c r="I46" s="937">
        <v>0</v>
      </c>
      <c r="J46" s="937">
        <v>0</v>
      </c>
      <c r="K46" s="937">
        <v>0</v>
      </c>
      <c r="L46" s="937">
        <v>0</v>
      </c>
      <c r="M46" s="937">
        <v>0</v>
      </c>
      <c r="N46" s="937">
        <v>0</v>
      </c>
      <c r="O46" s="937">
        <v>0</v>
      </c>
      <c r="P46" s="937">
        <v>0</v>
      </c>
      <c r="Q46" s="937">
        <v>0</v>
      </c>
      <c r="R46" s="937">
        <v>0</v>
      </c>
      <c r="S46" s="937">
        <v>0</v>
      </c>
      <c r="T46" s="938" t="str">
        <f t="shared" si="4"/>
        <v>For/on behalf of School District</v>
      </c>
      <c r="U46" s="484">
        <f t="shared" si="5"/>
        <v>0</v>
      </c>
    </row>
    <row r="47" spans="2:23" hidden="1" x14ac:dyDescent="0.2"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9"/>
    </row>
    <row r="48" spans="2:23" s="2" customFormat="1" x14ac:dyDescent="0.2">
      <c r="B48" s="39" t="s">
        <v>125</v>
      </c>
      <c r="C48" s="931">
        <f>SUM(C36:C47)</f>
        <v>27401048</v>
      </c>
      <c r="D48" s="931">
        <f t="shared" ref="D48:S48" si="6">SUM(D36:D47)</f>
        <v>0</v>
      </c>
      <c r="E48" s="931">
        <f t="shared" si="6"/>
        <v>703266</v>
      </c>
      <c r="F48" s="931">
        <f t="shared" si="6"/>
        <v>6022857</v>
      </c>
      <c r="G48" s="931">
        <f t="shared" si="6"/>
        <v>227971</v>
      </c>
      <c r="H48" s="931">
        <f t="shared" si="6"/>
        <v>3378003</v>
      </c>
      <c r="I48" s="931">
        <f t="shared" si="6"/>
        <v>0</v>
      </c>
      <c r="J48" s="931">
        <f t="shared" si="6"/>
        <v>0</v>
      </c>
      <c r="K48" s="931">
        <f t="shared" si="6"/>
        <v>0</v>
      </c>
      <c r="L48" s="931">
        <f t="shared" si="6"/>
        <v>0</v>
      </c>
      <c r="M48" s="931">
        <f t="shared" si="6"/>
        <v>0</v>
      </c>
      <c r="N48" s="931">
        <f t="shared" si="6"/>
        <v>0</v>
      </c>
      <c r="O48" s="931">
        <f t="shared" si="6"/>
        <v>0</v>
      </c>
      <c r="P48" s="931">
        <f t="shared" si="6"/>
        <v>0</v>
      </c>
      <c r="Q48" s="931">
        <f t="shared" si="6"/>
        <v>0</v>
      </c>
      <c r="R48" s="931">
        <f t="shared" si="6"/>
        <v>0</v>
      </c>
      <c r="S48" s="931">
        <f t="shared" si="6"/>
        <v>0</v>
      </c>
      <c r="T48" s="930">
        <f>SUM(C48:S48)</f>
        <v>37733145</v>
      </c>
      <c r="W48" s="53"/>
    </row>
    <row r="49" spans="1:23" x14ac:dyDescent="0.2">
      <c r="B49" s="550"/>
      <c r="C49" s="935"/>
      <c r="D49" s="935"/>
      <c r="E49" s="935"/>
      <c r="F49" s="935"/>
      <c r="G49" s="935"/>
      <c r="H49" s="935"/>
      <c r="I49" s="935"/>
      <c r="J49" s="935"/>
      <c r="K49" s="935"/>
      <c r="L49" s="935"/>
      <c r="M49" s="935"/>
      <c r="N49" s="935"/>
      <c r="O49" s="935"/>
      <c r="P49" s="935"/>
      <c r="Q49" s="935"/>
      <c r="R49" s="935"/>
      <c r="S49" s="935"/>
      <c r="T49" s="939"/>
    </row>
    <row r="50" spans="1:23" s="37" customFormat="1" hidden="1" x14ac:dyDescent="0.2">
      <c r="A50" s="45"/>
      <c r="B50" s="3" t="s">
        <v>658</v>
      </c>
      <c r="C50" s="937">
        <v>0</v>
      </c>
      <c r="D50" s="937">
        <v>0</v>
      </c>
      <c r="E50" s="937">
        <v>0</v>
      </c>
      <c r="F50" s="937">
        <v>0</v>
      </c>
      <c r="G50" s="937">
        <v>0</v>
      </c>
      <c r="H50" s="937">
        <v>0</v>
      </c>
      <c r="I50" s="937">
        <v>0</v>
      </c>
      <c r="J50" s="937">
        <v>0</v>
      </c>
      <c r="K50" s="937">
        <v>0</v>
      </c>
      <c r="L50" s="937">
        <v>0</v>
      </c>
      <c r="M50" s="937">
        <v>0</v>
      </c>
      <c r="N50" s="937">
        <v>0</v>
      </c>
      <c r="O50" s="937">
        <v>0</v>
      </c>
      <c r="P50" s="937">
        <v>0</v>
      </c>
      <c r="Q50" s="937">
        <v>0</v>
      </c>
      <c r="R50" s="937">
        <v>0</v>
      </c>
      <c r="S50" s="937">
        <v>0</v>
      </c>
      <c r="T50" s="938" t="str">
        <f t="shared" ref="T50:T60" si="7">B50</f>
        <v>Federal Lunch Reimbursement</v>
      </c>
      <c r="U50" s="484">
        <f t="shared" ref="U50:U60" si="8">SUM(C50:S50)</f>
        <v>0</v>
      </c>
      <c r="W50" s="519"/>
    </row>
    <row r="51" spans="1:23" s="37" customFormat="1" hidden="1" x14ac:dyDescent="0.2">
      <c r="A51" s="45"/>
      <c r="B51" s="3" t="s">
        <v>659</v>
      </c>
      <c r="C51" s="937">
        <v>0</v>
      </c>
      <c r="D51" s="937">
        <v>0</v>
      </c>
      <c r="E51" s="937">
        <v>0</v>
      </c>
      <c r="F51" s="937">
        <v>0</v>
      </c>
      <c r="G51" s="937">
        <v>0</v>
      </c>
      <c r="H51" s="937">
        <v>0</v>
      </c>
      <c r="I51" s="937">
        <v>0</v>
      </c>
      <c r="J51" s="937">
        <v>0</v>
      </c>
      <c r="K51" s="937">
        <v>0</v>
      </c>
      <c r="L51" s="937">
        <v>0</v>
      </c>
      <c r="M51" s="937">
        <v>0</v>
      </c>
      <c r="N51" s="937">
        <v>0</v>
      </c>
      <c r="O51" s="937">
        <v>0</v>
      </c>
      <c r="P51" s="937">
        <v>0</v>
      </c>
      <c r="Q51" s="937">
        <v>0</v>
      </c>
      <c r="R51" s="937">
        <v>0</v>
      </c>
      <c r="S51" s="937">
        <v>0</v>
      </c>
      <c r="T51" s="938" t="str">
        <f t="shared" si="7"/>
        <v>Forest Reserve</v>
      </c>
      <c r="U51" s="484">
        <f t="shared" si="8"/>
        <v>0</v>
      </c>
      <c r="W51" s="519"/>
    </row>
    <row r="52" spans="1:23" s="37" customFormat="1" hidden="1" x14ac:dyDescent="0.2">
      <c r="A52" s="45"/>
      <c r="B52" s="3" t="s">
        <v>660</v>
      </c>
      <c r="C52" s="937">
        <v>0</v>
      </c>
      <c r="D52" s="937">
        <v>0</v>
      </c>
      <c r="E52" s="937">
        <v>0</v>
      </c>
      <c r="F52" s="937">
        <v>0</v>
      </c>
      <c r="G52" s="937">
        <v>0</v>
      </c>
      <c r="H52" s="937">
        <v>0</v>
      </c>
      <c r="I52" s="937">
        <v>0</v>
      </c>
      <c r="J52" s="937">
        <v>0</v>
      </c>
      <c r="K52" s="937">
        <v>0</v>
      </c>
      <c r="L52" s="937">
        <v>0</v>
      </c>
      <c r="M52" s="937">
        <v>0</v>
      </c>
      <c r="N52" s="937">
        <v>0</v>
      </c>
      <c r="O52" s="937">
        <v>0</v>
      </c>
      <c r="P52" s="937">
        <v>0</v>
      </c>
      <c r="Q52" s="937">
        <v>0</v>
      </c>
      <c r="R52" s="937">
        <v>0</v>
      </c>
      <c r="S52" s="937">
        <v>0</v>
      </c>
      <c r="T52" s="938" t="str">
        <f t="shared" si="7"/>
        <v>Erate Funds</v>
      </c>
      <c r="U52" s="484">
        <f t="shared" si="8"/>
        <v>0</v>
      </c>
      <c r="W52" s="519"/>
    </row>
    <row r="53" spans="1:23" s="37" customFormat="1" hidden="1" x14ac:dyDescent="0.2">
      <c r="A53" s="45"/>
      <c r="B53" s="3" t="s">
        <v>683</v>
      </c>
      <c r="C53" s="937">
        <v>0</v>
      </c>
      <c r="D53" s="937">
        <v>0</v>
      </c>
      <c r="E53" s="937">
        <v>0</v>
      </c>
      <c r="F53" s="937">
        <v>0</v>
      </c>
      <c r="G53" s="937">
        <v>0</v>
      </c>
      <c r="H53" s="937">
        <v>0</v>
      </c>
      <c r="I53" s="937">
        <v>0</v>
      </c>
      <c r="J53" s="937">
        <v>0</v>
      </c>
      <c r="K53" s="937">
        <v>0</v>
      </c>
      <c r="L53" s="937">
        <v>0</v>
      </c>
      <c r="M53" s="937">
        <v>0</v>
      </c>
      <c r="N53" s="937">
        <v>0</v>
      </c>
      <c r="O53" s="937">
        <v>0</v>
      </c>
      <c r="P53" s="937">
        <v>0</v>
      </c>
      <c r="Q53" s="937">
        <v>0</v>
      </c>
      <c r="R53" s="937">
        <v>0</v>
      </c>
      <c r="S53" s="937">
        <v>0</v>
      </c>
      <c r="T53" s="938" t="str">
        <f t="shared" si="7"/>
        <v>Medicaid Reimbursement</v>
      </c>
      <c r="U53" s="484">
        <f t="shared" si="8"/>
        <v>0</v>
      </c>
      <c r="W53" s="519"/>
    </row>
    <row r="54" spans="1:23" s="37" customFormat="1" hidden="1" x14ac:dyDescent="0.2">
      <c r="A54" s="45"/>
      <c r="B54" s="3" t="s">
        <v>390</v>
      </c>
      <c r="C54" s="937">
        <v>0</v>
      </c>
      <c r="D54" s="937">
        <v>0</v>
      </c>
      <c r="E54" s="937">
        <v>0</v>
      </c>
      <c r="F54" s="937">
        <v>0</v>
      </c>
      <c r="G54" s="937">
        <v>0</v>
      </c>
      <c r="H54" s="937">
        <v>0</v>
      </c>
      <c r="I54" s="937">
        <v>0</v>
      </c>
      <c r="J54" s="937">
        <v>0</v>
      </c>
      <c r="K54" s="937">
        <v>0</v>
      </c>
      <c r="L54" s="937">
        <v>0</v>
      </c>
      <c r="M54" s="937">
        <v>0</v>
      </c>
      <c r="N54" s="937">
        <v>0</v>
      </c>
      <c r="O54" s="937">
        <v>0</v>
      </c>
      <c r="P54" s="937">
        <v>0</v>
      </c>
      <c r="Q54" s="937">
        <v>0</v>
      </c>
      <c r="R54" s="937">
        <v>0</v>
      </c>
      <c r="S54" s="937">
        <v>0</v>
      </c>
      <c r="T54" s="938" t="str">
        <f t="shared" si="7"/>
        <v>Unrestricted - Direct Fed Gov't</v>
      </c>
      <c r="U54" s="484">
        <f t="shared" si="8"/>
        <v>0</v>
      </c>
      <c r="W54" s="519"/>
    </row>
    <row r="55" spans="1:23" s="37" customFormat="1" hidden="1" x14ac:dyDescent="0.2">
      <c r="A55" s="45"/>
      <c r="B55" s="3" t="s">
        <v>617</v>
      </c>
      <c r="C55" s="937">
        <v>0</v>
      </c>
      <c r="D55" s="937">
        <v>0</v>
      </c>
      <c r="E55" s="937">
        <v>0</v>
      </c>
      <c r="F55" s="937">
        <v>0</v>
      </c>
      <c r="G55" s="937">
        <v>0</v>
      </c>
      <c r="H55" s="937">
        <v>0</v>
      </c>
      <c r="I55" s="937">
        <v>0</v>
      </c>
      <c r="J55" s="937">
        <v>0</v>
      </c>
      <c r="K55" s="937">
        <v>0</v>
      </c>
      <c r="L55" s="937">
        <v>0</v>
      </c>
      <c r="M55" s="937">
        <v>0</v>
      </c>
      <c r="N55" s="937">
        <v>0</v>
      </c>
      <c r="O55" s="937">
        <v>0</v>
      </c>
      <c r="P55" s="937">
        <v>0</v>
      </c>
      <c r="Q55" s="937">
        <v>0</v>
      </c>
      <c r="R55" s="937">
        <v>0</v>
      </c>
      <c r="S55" s="937">
        <v>0</v>
      </c>
      <c r="T55" s="938" t="str">
        <f t="shared" si="7"/>
        <v>Unrestricted - State Agency</v>
      </c>
      <c r="U55" s="484">
        <f t="shared" si="8"/>
        <v>0</v>
      </c>
      <c r="W55" s="519"/>
    </row>
    <row r="56" spans="1:23" s="37" customFormat="1" x14ac:dyDescent="0.2">
      <c r="A56" s="45"/>
      <c r="B56" s="3" t="s">
        <v>299</v>
      </c>
      <c r="C56" s="937">
        <v>0</v>
      </c>
      <c r="D56" s="937">
        <v>0</v>
      </c>
      <c r="E56" s="937">
        <v>0</v>
      </c>
      <c r="F56" s="937">
        <v>0</v>
      </c>
      <c r="G56" s="937">
        <v>0</v>
      </c>
      <c r="H56" s="937">
        <v>0</v>
      </c>
      <c r="I56" s="937">
        <v>0</v>
      </c>
      <c r="J56" s="937">
        <v>72220</v>
      </c>
      <c r="K56" s="937">
        <v>0</v>
      </c>
      <c r="L56" s="937">
        <v>0</v>
      </c>
      <c r="M56" s="937">
        <v>0</v>
      </c>
      <c r="N56" s="937">
        <v>0</v>
      </c>
      <c r="O56" s="937">
        <v>0</v>
      </c>
      <c r="P56" s="937">
        <v>0</v>
      </c>
      <c r="Q56" s="937">
        <v>0</v>
      </c>
      <c r="R56" s="937">
        <v>0</v>
      </c>
      <c r="S56" s="937">
        <v>0</v>
      </c>
      <c r="T56" s="938" t="str">
        <f t="shared" si="7"/>
        <v>Restricted - Direct</v>
      </c>
      <c r="U56" s="484">
        <f t="shared" si="8"/>
        <v>72220</v>
      </c>
      <c r="W56" s="519"/>
    </row>
    <row r="57" spans="1:23" s="37" customFormat="1" x14ac:dyDescent="0.2">
      <c r="A57" s="45"/>
      <c r="B57" s="3" t="s">
        <v>298</v>
      </c>
      <c r="C57" s="937">
        <v>0</v>
      </c>
      <c r="D57" s="937">
        <v>0</v>
      </c>
      <c r="E57" s="937">
        <v>0</v>
      </c>
      <c r="F57" s="937">
        <v>0</v>
      </c>
      <c r="G57" s="937">
        <v>0</v>
      </c>
      <c r="H57" s="937">
        <v>0</v>
      </c>
      <c r="I57" s="937">
        <v>0</v>
      </c>
      <c r="J57" s="937">
        <f>8697947-2600000</f>
        <v>6097947</v>
      </c>
      <c r="K57" s="937">
        <v>2600000</v>
      </c>
      <c r="L57" s="937">
        <v>0</v>
      </c>
      <c r="M57" s="937">
        <v>0</v>
      </c>
      <c r="N57" s="937">
        <v>0</v>
      </c>
      <c r="O57" s="937">
        <v>0</v>
      </c>
      <c r="P57" s="937">
        <v>0</v>
      </c>
      <c r="Q57" s="937">
        <v>0</v>
      </c>
      <c r="R57" s="937">
        <v>0</v>
      </c>
      <c r="S57" s="937">
        <v>0</v>
      </c>
      <c r="T57" s="938" t="str">
        <f t="shared" si="7"/>
        <v>Restricted - State Agency</v>
      </c>
      <c r="U57" s="484">
        <f t="shared" si="8"/>
        <v>8697947</v>
      </c>
      <c r="W57" s="519"/>
    </row>
    <row r="58" spans="1:23" s="37" customFormat="1" x14ac:dyDescent="0.2">
      <c r="A58" s="45"/>
      <c r="B58" s="3" t="s">
        <v>476</v>
      </c>
      <c r="C58" s="937">
        <v>0</v>
      </c>
      <c r="D58" s="937">
        <v>0</v>
      </c>
      <c r="E58" s="937">
        <v>0</v>
      </c>
      <c r="F58" s="937">
        <v>0</v>
      </c>
      <c r="G58" s="937">
        <v>0</v>
      </c>
      <c r="H58" s="937">
        <v>0</v>
      </c>
      <c r="I58" s="937">
        <v>0</v>
      </c>
      <c r="J58" s="937">
        <v>230000</v>
      </c>
      <c r="K58" s="937">
        <v>0</v>
      </c>
      <c r="L58" s="937">
        <v>0</v>
      </c>
      <c r="M58" s="937">
        <v>0</v>
      </c>
      <c r="N58" s="937">
        <v>0</v>
      </c>
      <c r="O58" s="937">
        <v>0</v>
      </c>
      <c r="P58" s="937">
        <v>0</v>
      </c>
      <c r="Q58" s="937">
        <v>0</v>
      </c>
      <c r="R58" s="937">
        <v>0</v>
      </c>
      <c r="S58" s="937">
        <v>0</v>
      </c>
      <c r="T58" s="938" t="str">
        <f t="shared" si="7"/>
        <v>Restricted - Other Agency</v>
      </c>
      <c r="U58" s="484">
        <f t="shared" si="8"/>
        <v>230000</v>
      </c>
      <c r="W58" s="519"/>
    </row>
    <row r="59" spans="1:23" s="37" customFormat="1" hidden="1" x14ac:dyDescent="0.2">
      <c r="A59" s="45"/>
      <c r="B59" s="3" t="s">
        <v>398</v>
      </c>
      <c r="C59" s="937">
        <v>0</v>
      </c>
      <c r="D59" s="937">
        <v>0</v>
      </c>
      <c r="E59" s="937">
        <v>0</v>
      </c>
      <c r="F59" s="937">
        <v>0</v>
      </c>
      <c r="G59" s="937">
        <v>0</v>
      </c>
      <c r="H59" s="937">
        <v>0</v>
      </c>
      <c r="I59" s="937">
        <v>0</v>
      </c>
      <c r="J59" s="937">
        <v>0</v>
      </c>
      <c r="K59" s="937">
        <v>0</v>
      </c>
      <c r="L59" s="937">
        <v>0</v>
      </c>
      <c r="M59" s="937">
        <v>0</v>
      </c>
      <c r="N59" s="937">
        <v>0</v>
      </c>
      <c r="O59" s="937">
        <v>0</v>
      </c>
      <c r="P59" s="937">
        <v>0</v>
      </c>
      <c r="Q59" s="937">
        <v>0</v>
      </c>
      <c r="R59" s="937">
        <v>0</v>
      </c>
      <c r="S59" s="937">
        <v>0</v>
      </c>
      <c r="T59" s="938" t="str">
        <f t="shared" si="7"/>
        <v>Revenue in Lieu of Taxes</v>
      </c>
      <c r="U59" s="484">
        <f t="shared" si="8"/>
        <v>0</v>
      </c>
      <c r="W59" s="519"/>
    </row>
    <row r="60" spans="1:23" hidden="1" x14ac:dyDescent="0.2">
      <c r="B60" s="3" t="s">
        <v>554</v>
      </c>
      <c r="C60" s="937">
        <v>0</v>
      </c>
      <c r="D60" s="937">
        <v>0</v>
      </c>
      <c r="E60" s="937">
        <v>0</v>
      </c>
      <c r="F60" s="937">
        <v>0</v>
      </c>
      <c r="G60" s="937">
        <v>0</v>
      </c>
      <c r="H60" s="937">
        <v>0</v>
      </c>
      <c r="I60" s="937">
        <v>0</v>
      </c>
      <c r="J60" s="937">
        <v>0</v>
      </c>
      <c r="K60" s="937">
        <v>0</v>
      </c>
      <c r="L60" s="937">
        <v>0</v>
      </c>
      <c r="M60" s="937">
        <v>0</v>
      </c>
      <c r="N60" s="937">
        <v>0</v>
      </c>
      <c r="O60" s="937">
        <v>0</v>
      </c>
      <c r="P60" s="937">
        <v>0</v>
      </c>
      <c r="Q60" s="937">
        <v>0</v>
      </c>
      <c r="R60" s="937">
        <v>0</v>
      </c>
      <c r="S60" s="937">
        <v>0</v>
      </c>
      <c r="T60" s="938" t="str">
        <f t="shared" si="7"/>
        <v>Revenue for/on behalf of School District</v>
      </c>
      <c r="U60" s="484">
        <f t="shared" si="8"/>
        <v>0</v>
      </c>
    </row>
    <row r="61" spans="1:23" hidden="1" x14ac:dyDescent="0.2">
      <c r="C61" s="935"/>
      <c r="D61" s="935"/>
      <c r="E61" s="935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9"/>
    </row>
    <row r="62" spans="1:23" s="2" customFormat="1" x14ac:dyDescent="0.2">
      <c r="B62" s="39" t="s">
        <v>126</v>
      </c>
      <c r="C62" s="931">
        <f>SUM(C49:C61)</f>
        <v>0</v>
      </c>
      <c r="D62" s="931">
        <f t="shared" ref="D62:S62" si="9">SUM(D49:D61)</f>
        <v>0</v>
      </c>
      <c r="E62" s="931">
        <f t="shared" si="9"/>
        <v>0</v>
      </c>
      <c r="F62" s="931">
        <f t="shared" si="9"/>
        <v>0</v>
      </c>
      <c r="G62" s="931">
        <f t="shared" si="9"/>
        <v>0</v>
      </c>
      <c r="H62" s="931">
        <f t="shared" si="9"/>
        <v>0</v>
      </c>
      <c r="I62" s="931">
        <f t="shared" si="9"/>
        <v>0</v>
      </c>
      <c r="J62" s="931">
        <f t="shared" si="9"/>
        <v>6400167</v>
      </c>
      <c r="K62" s="931">
        <f t="shared" si="9"/>
        <v>2600000</v>
      </c>
      <c r="L62" s="931">
        <f t="shared" si="9"/>
        <v>0</v>
      </c>
      <c r="M62" s="931">
        <f t="shared" si="9"/>
        <v>0</v>
      </c>
      <c r="N62" s="931">
        <f t="shared" si="9"/>
        <v>0</v>
      </c>
      <c r="O62" s="931">
        <f t="shared" si="9"/>
        <v>0</v>
      </c>
      <c r="P62" s="931">
        <f t="shared" si="9"/>
        <v>0</v>
      </c>
      <c r="Q62" s="931">
        <f t="shared" si="9"/>
        <v>0</v>
      </c>
      <c r="R62" s="931">
        <f t="shared" si="9"/>
        <v>0</v>
      </c>
      <c r="S62" s="931">
        <f t="shared" si="9"/>
        <v>0</v>
      </c>
      <c r="T62" s="930">
        <f>SUM(C62:S62)</f>
        <v>9000167</v>
      </c>
      <c r="W62" s="53"/>
    </row>
    <row r="63" spans="1:23" x14ac:dyDescent="0.2">
      <c r="B63" s="550"/>
      <c r="C63" s="935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9"/>
    </row>
    <row r="64" spans="1:23" hidden="1" x14ac:dyDescent="0.2">
      <c r="B64" s="550" t="s">
        <v>300</v>
      </c>
      <c r="C64" s="935">
        <v>0</v>
      </c>
      <c r="D64" s="935">
        <v>0</v>
      </c>
      <c r="E64" s="935">
        <v>0</v>
      </c>
      <c r="F64" s="935">
        <v>0</v>
      </c>
      <c r="G64" s="935">
        <v>0</v>
      </c>
      <c r="H64" s="935">
        <v>0</v>
      </c>
      <c r="I64" s="935">
        <v>0</v>
      </c>
      <c r="J64" s="935">
        <v>0</v>
      </c>
      <c r="K64" s="935">
        <v>0</v>
      </c>
      <c r="L64" s="935">
        <v>0</v>
      </c>
      <c r="M64" s="935">
        <v>0</v>
      </c>
      <c r="N64" s="935">
        <v>0</v>
      </c>
      <c r="O64" s="935">
        <v>0</v>
      </c>
      <c r="P64" s="935">
        <v>0</v>
      </c>
      <c r="Q64" s="935">
        <v>0</v>
      </c>
      <c r="R64" s="935">
        <v>0</v>
      </c>
      <c r="S64" s="935">
        <v>0</v>
      </c>
      <c r="T64" s="905" t="s">
        <v>300</v>
      </c>
      <c r="U64" s="933">
        <f>SUM(C64:S64)</f>
        <v>0</v>
      </c>
    </row>
    <row r="65" spans="1:23" hidden="1" x14ac:dyDescent="0.2">
      <c r="B65" s="550" t="s">
        <v>408</v>
      </c>
      <c r="C65" s="935">
        <v>0</v>
      </c>
      <c r="D65" s="935">
        <v>0</v>
      </c>
      <c r="E65" s="935">
        <v>0</v>
      </c>
      <c r="F65" s="935">
        <v>0</v>
      </c>
      <c r="G65" s="935">
        <v>0</v>
      </c>
      <c r="H65" s="935">
        <v>0</v>
      </c>
      <c r="I65" s="935">
        <v>0</v>
      </c>
      <c r="J65" s="935">
        <v>0</v>
      </c>
      <c r="K65" s="935">
        <v>0</v>
      </c>
      <c r="L65" s="935">
        <v>0</v>
      </c>
      <c r="M65" s="935">
        <v>0</v>
      </c>
      <c r="N65" s="935">
        <v>0</v>
      </c>
      <c r="O65" s="935">
        <v>0</v>
      </c>
      <c r="P65" s="935">
        <v>0</v>
      </c>
      <c r="Q65" s="935">
        <v>0</v>
      </c>
      <c r="R65" s="935">
        <v>0</v>
      </c>
      <c r="S65" s="935">
        <v>0</v>
      </c>
      <c r="T65" s="905" t="s">
        <v>408</v>
      </c>
      <c r="U65" s="933">
        <f>SUM(C65:S65)</f>
        <v>0</v>
      </c>
    </row>
    <row r="66" spans="1:23" x14ac:dyDescent="0.2">
      <c r="B66" s="550" t="s">
        <v>301</v>
      </c>
      <c r="C66" s="935">
        <v>0</v>
      </c>
      <c r="D66" s="935">
        <v>0</v>
      </c>
      <c r="E66" s="935">
        <v>0</v>
      </c>
      <c r="F66" s="935">
        <v>0</v>
      </c>
      <c r="G66" s="935">
        <v>0</v>
      </c>
      <c r="H66" s="935">
        <v>9158251</v>
      </c>
      <c r="I66" s="935">
        <v>0</v>
      </c>
      <c r="J66" s="935">
        <v>0</v>
      </c>
      <c r="K66" s="935">
        <v>0</v>
      </c>
      <c r="L66" s="935">
        <v>0</v>
      </c>
      <c r="M66" s="935">
        <v>0</v>
      </c>
      <c r="N66" s="935">
        <v>0</v>
      </c>
      <c r="O66" s="935">
        <v>0</v>
      </c>
      <c r="P66" s="935">
        <v>0</v>
      </c>
      <c r="Q66" s="935">
        <v>0</v>
      </c>
      <c r="R66" s="935">
        <v>0</v>
      </c>
      <c r="S66" s="935">
        <v>-9158251</v>
      </c>
      <c r="T66" s="905" t="s">
        <v>301</v>
      </c>
      <c r="U66" s="933">
        <f>SUM(C66:S66)</f>
        <v>0</v>
      </c>
    </row>
    <row r="67" spans="1:23" hidden="1" x14ac:dyDescent="0.2">
      <c r="B67" s="550" t="s">
        <v>661</v>
      </c>
      <c r="C67" s="935">
        <v>0</v>
      </c>
      <c r="D67" s="935">
        <v>0</v>
      </c>
      <c r="E67" s="935">
        <v>0</v>
      </c>
      <c r="F67" s="935">
        <v>0</v>
      </c>
      <c r="G67" s="935">
        <v>0</v>
      </c>
      <c r="H67" s="935">
        <v>0</v>
      </c>
      <c r="I67" s="935">
        <v>0</v>
      </c>
      <c r="J67" s="935">
        <v>0</v>
      </c>
      <c r="K67" s="935">
        <v>0</v>
      </c>
      <c r="L67" s="935">
        <v>0</v>
      </c>
      <c r="M67" s="935">
        <v>0</v>
      </c>
      <c r="N67" s="935">
        <v>0</v>
      </c>
      <c r="O67" s="935">
        <v>0</v>
      </c>
      <c r="P67" s="935">
        <v>0</v>
      </c>
      <c r="Q67" s="935">
        <v>0</v>
      </c>
      <c r="R67" s="935">
        <v>0</v>
      </c>
      <c r="S67" s="935">
        <v>0</v>
      </c>
      <c r="T67" s="905" t="s">
        <v>661</v>
      </c>
      <c r="U67" s="933">
        <f>SUM(C67:S67)</f>
        <v>0</v>
      </c>
    </row>
    <row r="68" spans="1:23" hidden="1" x14ac:dyDescent="0.2">
      <c r="C68" s="935"/>
      <c r="D68" s="935"/>
      <c r="E68" s="935"/>
      <c r="F68" s="935"/>
      <c r="G68" s="935"/>
      <c r="H68" s="935"/>
      <c r="I68" s="935"/>
      <c r="J68" s="935"/>
      <c r="K68" s="935"/>
      <c r="L68" s="935"/>
      <c r="M68" s="935"/>
      <c r="N68" s="935"/>
      <c r="O68" s="935"/>
      <c r="P68" s="935"/>
      <c r="Q68" s="935"/>
      <c r="R68" s="935"/>
      <c r="S68" s="935"/>
      <c r="T68" s="939"/>
    </row>
    <row r="69" spans="1:23" s="2" customFormat="1" x14ac:dyDescent="0.2">
      <c r="B69" s="39" t="s">
        <v>127</v>
      </c>
      <c r="C69" s="931">
        <f>SUM(C63:C68)</f>
        <v>0</v>
      </c>
      <c r="D69" s="931">
        <f t="shared" ref="D69:S69" si="10">SUM(D63:D68)</f>
        <v>0</v>
      </c>
      <c r="E69" s="931">
        <f t="shared" si="10"/>
        <v>0</v>
      </c>
      <c r="F69" s="931">
        <f t="shared" si="10"/>
        <v>0</v>
      </c>
      <c r="G69" s="931">
        <f t="shared" si="10"/>
        <v>0</v>
      </c>
      <c r="H69" s="931">
        <f t="shared" si="10"/>
        <v>9158251</v>
      </c>
      <c r="I69" s="931">
        <f t="shared" si="10"/>
        <v>0</v>
      </c>
      <c r="J69" s="931">
        <f t="shared" si="10"/>
        <v>0</v>
      </c>
      <c r="K69" s="931">
        <f t="shared" si="10"/>
        <v>0</v>
      </c>
      <c r="L69" s="931">
        <f t="shared" si="10"/>
        <v>0</v>
      </c>
      <c r="M69" s="931">
        <f t="shared" si="10"/>
        <v>0</v>
      </c>
      <c r="N69" s="931">
        <f t="shared" si="10"/>
        <v>0</v>
      </c>
      <c r="O69" s="931">
        <f t="shared" si="10"/>
        <v>0</v>
      </c>
      <c r="P69" s="931">
        <f t="shared" si="10"/>
        <v>0</v>
      </c>
      <c r="Q69" s="931">
        <f t="shared" si="10"/>
        <v>0</v>
      </c>
      <c r="R69" s="931">
        <f t="shared" si="10"/>
        <v>0</v>
      </c>
      <c r="S69" s="931">
        <f t="shared" si="10"/>
        <v>-9158251</v>
      </c>
      <c r="T69" s="930">
        <f>SUM(C69:S69)</f>
        <v>0</v>
      </c>
      <c r="W69" s="53"/>
    </row>
    <row r="70" spans="1:23" x14ac:dyDescent="0.2">
      <c r="C70" s="935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9"/>
    </row>
    <row r="71" spans="1:23" s="2" customFormat="1" x14ac:dyDescent="0.2">
      <c r="B71" s="18" t="s">
        <v>128</v>
      </c>
      <c r="C71" s="931">
        <f>SUM(C69,C62,C48,C35)</f>
        <v>51584168</v>
      </c>
      <c r="D71" s="931">
        <f t="shared" ref="D71:S71" si="11">SUM(D69,D62,D48,D35)</f>
        <v>9486787</v>
      </c>
      <c r="E71" s="931">
        <f t="shared" si="11"/>
        <v>703266</v>
      </c>
      <c r="F71" s="931">
        <f t="shared" si="11"/>
        <v>6022857</v>
      </c>
      <c r="G71" s="931">
        <f t="shared" si="11"/>
        <v>227971</v>
      </c>
      <c r="H71" s="931">
        <f t="shared" si="11"/>
        <v>12536254</v>
      </c>
      <c r="I71" s="931">
        <f t="shared" si="11"/>
        <v>0</v>
      </c>
      <c r="J71" s="931">
        <f t="shared" si="11"/>
        <v>6400167</v>
      </c>
      <c r="K71" s="931">
        <f t="shared" si="11"/>
        <v>2752500</v>
      </c>
      <c r="L71" s="931">
        <f t="shared" si="11"/>
        <v>770048</v>
      </c>
      <c r="M71" s="931">
        <f t="shared" si="11"/>
        <v>370000</v>
      </c>
      <c r="N71" s="931">
        <f t="shared" si="11"/>
        <v>76488</v>
      </c>
      <c r="O71" s="931">
        <f t="shared" si="11"/>
        <v>22400</v>
      </c>
      <c r="P71" s="931">
        <f t="shared" si="11"/>
        <v>30000</v>
      </c>
      <c r="Q71" s="931">
        <f t="shared" si="11"/>
        <v>10002000</v>
      </c>
      <c r="R71" s="931">
        <f t="shared" si="11"/>
        <v>216000</v>
      </c>
      <c r="S71" s="931">
        <f t="shared" si="11"/>
        <v>-9158251</v>
      </c>
      <c r="T71" s="930">
        <f>SUM(T35:T70)</f>
        <v>92042655</v>
      </c>
      <c r="W71" s="53"/>
    </row>
    <row r="72" spans="1:23" s="2" customFormat="1" x14ac:dyDescent="0.2">
      <c r="B72" s="18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930"/>
      <c r="W72" s="53"/>
    </row>
    <row r="73" spans="1:23" s="37" customFormat="1" hidden="1" x14ac:dyDescent="0.2">
      <c r="A73" s="45"/>
      <c r="B73" s="3" t="s">
        <v>662</v>
      </c>
      <c r="C73" s="937">
        <v>0</v>
      </c>
      <c r="D73" s="937">
        <v>0</v>
      </c>
      <c r="E73" s="937">
        <v>0</v>
      </c>
      <c r="F73" s="937">
        <v>0</v>
      </c>
      <c r="G73" s="937">
        <v>0</v>
      </c>
      <c r="H73" s="937">
        <v>0</v>
      </c>
      <c r="I73" s="937">
        <v>0</v>
      </c>
      <c r="J73" s="937">
        <v>0</v>
      </c>
      <c r="K73" s="937">
        <v>0</v>
      </c>
      <c r="L73" s="937">
        <v>0</v>
      </c>
      <c r="M73" s="937">
        <v>0</v>
      </c>
      <c r="N73" s="937">
        <v>0</v>
      </c>
      <c r="O73" s="937">
        <v>0</v>
      </c>
      <c r="P73" s="937">
        <v>0</v>
      </c>
      <c r="Q73" s="937">
        <v>0</v>
      </c>
      <c r="R73" s="937">
        <v>0</v>
      </c>
      <c r="S73" s="937">
        <v>0</v>
      </c>
      <c r="T73" s="938" t="str">
        <f t="shared" ref="T73:T78" si="12">B73</f>
        <v>Reserved Net Proceeds</v>
      </c>
      <c r="U73" s="484">
        <f t="shared" ref="U73:U78" si="13">SUM(C73:S73)</f>
        <v>0</v>
      </c>
      <c r="W73" s="519"/>
    </row>
    <row r="74" spans="1:23" s="37" customFormat="1" hidden="1" x14ac:dyDescent="0.2">
      <c r="A74" s="45"/>
      <c r="B74" s="3" t="s">
        <v>663</v>
      </c>
      <c r="C74" s="937">
        <v>0</v>
      </c>
      <c r="D74" s="937">
        <v>0</v>
      </c>
      <c r="E74" s="937">
        <v>0</v>
      </c>
      <c r="F74" s="937">
        <v>0</v>
      </c>
      <c r="G74" s="937">
        <v>0</v>
      </c>
      <c r="H74" s="937">
        <v>0</v>
      </c>
      <c r="I74" s="937">
        <v>0</v>
      </c>
      <c r="J74" s="937">
        <v>0</v>
      </c>
      <c r="K74" s="937">
        <v>0</v>
      </c>
      <c r="L74" s="937">
        <v>0</v>
      </c>
      <c r="M74" s="937">
        <v>0</v>
      </c>
      <c r="N74" s="937">
        <v>0</v>
      </c>
      <c r="O74" s="937">
        <v>0</v>
      </c>
      <c r="P74" s="937">
        <v>0</v>
      </c>
      <c r="Q74" s="937">
        <v>0</v>
      </c>
      <c r="R74" s="937">
        <v>0</v>
      </c>
      <c r="S74" s="937">
        <v>0</v>
      </c>
      <c r="T74" s="938" t="str">
        <f t="shared" si="12"/>
        <v>Reserved Fund Balance - PIRC</v>
      </c>
      <c r="U74" s="484">
        <f t="shared" si="13"/>
        <v>0</v>
      </c>
      <c r="W74" s="519"/>
    </row>
    <row r="75" spans="1:23" s="37" customFormat="1" hidden="1" x14ac:dyDescent="0.2">
      <c r="A75" s="45"/>
      <c r="B75" s="3" t="s">
        <v>303</v>
      </c>
      <c r="C75" s="937">
        <v>0</v>
      </c>
      <c r="D75" s="937">
        <v>0</v>
      </c>
      <c r="E75" s="937">
        <v>0</v>
      </c>
      <c r="F75" s="937">
        <v>0</v>
      </c>
      <c r="G75" s="937">
        <v>0</v>
      </c>
      <c r="H75" s="937">
        <v>0</v>
      </c>
      <c r="I75" s="937">
        <v>0</v>
      </c>
      <c r="J75" s="937">
        <v>0</v>
      </c>
      <c r="K75" s="937">
        <v>0</v>
      </c>
      <c r="L75" s="937">
        <v>0</v>
      </c>
      <c r="M75" s="937">
        <v>0</v>
      </c>
      <c r="N75" s="937">
        <v>0</v>
      </c>
      <c r="O75" s="937">
        <v>0</v>
      </c>
      <c r="P75" s="937">
        <v>0</v>
      </c>
      <c r="Q75" s="937">
        <v>0</v>
      </c>
      <c r="R75" s="937">
        <v>0</v>
      </c>
      <c r="S75" s="937">
        <v>0</v>
      </c>
      <c r="T75" s="938" t="str">
        <f t="shared" si="12"/>
        <v>Reserved Opening Balance</v>
      </c>
      <c r="U75" s="484">
        <f t="shared" si="13"/>
        <v>0</v>
      </c>
      <c r="W75" s="519"/>
    </row>
    <row r="76" spans="1:23" s="37" customFormat="1" hidden="1" x14ac:dyDescent="0.2">
      <c r="A76" s="45"/>
      <c r="B76" s="3" t="s">
        <v>600</v>
      </c>
      <c r="C76" s="937">
        <v>0</v>
      </c>
      <c r="D76" s="937">
        <v>0</v>
      </c>
      <c r="E76" s="937">
        <v>0</v>
      </c>
      <c r="F76" s="937">
        <v>0</v>
      </c>
      <c r="G76" s="937">
        <v>0</v>
      </c>
      <c r="H76" s="937">
        <v>0</v>
      </c>
      <c r="I76" s="937">
        <v>0</v>
      </c>
      <c r="J76" s="937">
        <v>0</v>
      </c>
      <c r="K76" s="937">
        <v>0</v>
      </c>
      <c r="L76" s="937">
        <v>0</v>
      </c>
      <c r="M76" s="937">
        <v>0</v>
      </c>
      <c r="N76" s="937">
        <v>0</v>
      </c>
      <c r="O76" s="937">
        <v>0</v>
      </c>
      <c r="P76" s="937">
        <v>0</v>
      </c>
      <c r="Q76" s="937">
        <v>0</v>
      </c>
      <c r="R76" s="937">
        <v>0</v>
      </c>
      <c r="S76" s="937">
        <v>0</v>
      </c>
      <c r="T76" s="938" t="str">
        <f t="shared" si="12"/>
        <v>Unreserved Opening Balance</v>
      </c>
      <c r="U76" s="484">
        <f t="shared" si="13"/>
        <v>0</v>
      </c>
      <c r="W76" s="519"/>
    </row>
    <row r="77" spans="1:23" s="37" customFormat="1" x14ac:dyDescent="0.2">
      <c r="A77" s="45"/>
      <c r="B77" s="3" t="s">
        <v>304</v>
      </c>
      <c r="C77" s="937">
        <v>18005325</v>
      </c>
      <c r="D77" s="937">
        <v>44374662</v>
      </c>
      <c r="E77" s="937">
        <v>0</v>
      </c>
      <c r="F77" s="937">
        <v>0</v>
      </c>
      <c r="G77" s="937">
        <v>0</v>
      </c>
      <c r="H77" s="937">
        <v>0</v>
      </c>
      <c r="I77" s="937">
        <v>503560</v>
      </c>
      <c r="J77" s="937">
        <v>1510973</v>
      </c>
      <c r="K77" s="937">
        <v>1580259</v>
      </c>
      <c r="L77" s="937">
        <v>915610</v>
      </c>
      <c r="M77" s="937">
        <v>1506314</v>
      </c>
      <c r="N77" s="937">
        <v>408574</v>
      </c>
      <c r="O77" s="937">
        <v>198310</v>
      </c>
      <c r="P77" s="937">
        <v>2847722</v>
      </c>
      <c r="Q77" s="937">
        <v>1177819</v>
      </c>
      <c r="R77" s="937">
        <v>614551</v>
      </c>
      <c r="S77" s="937">
        <v>0</v>
      </c>
      <c r="T77" s="938" t="str">
        <f t="shared" si="12"/>
        <v>Opening Balance (Other)</v>
      </c>
      <c r="U77" s="484">
        <f t="shared" si="13"/>
        <v>73643679</v>
      </c>
      <c r="W77" s="519"/>
    </row>
    <row r="78" spans="1:23" s="37" customFormat="1" hidden="1" x14ac:dyDescent="0.2">
      <c r="A78" s="45"/>
      <c r="B78" s="3" t="s">
        <v>305</v>
      </c>
      <c r="C78" s="937">
        <v>0</v>
      </c>
      <c r="D78" s="937">
        <v>0</v>
      </c>
      <c r="E78" s="937">
        <v>0</v>
      </c>
      <c r="F78" s="937">
        <v>0</v>
      </c>
      <c r="G78" s="937">
        <v>0</v>
      </c>
      <c r="H78" s="937">
        <v>0</v>
      </c>
      <c r="I78" s="937">
        <v>0</v>
      </c>
      <c r="J78" s="937">
        <v>0</v>
      </c>
      <c r="K78" s="937">
        <v>0</v>
      </c>
      <c r="L78" s="937">
        <v>0</v>
      </c>
      <c r="M78" s="937">
        <v>0</v>
      </c>
      <c r="N78" s="937">
        <v>0</v>
      </c>
      <c r="O78" s="937">
        <v>0</v>
      </c>
      <c r="P78" s="937">
        <v>0</v>
      </c>
      <c r="Q78" s="937">
        <v>0</v>
      </c>
      <c r="R78" s="937">
        <v>0</v>
      </c>
      <c r="S78" s="937">
        <v>0</v>
      </c>
      <c r="T78" s="938" t="str">
        <f t="shared" si="12"/>
        <v>Reverted to State</v>
      </c>
      <c r="U78" s="484">
        <f t="shared" si="13"/>
        <v>0</v>
      </c>
      <c r="W78" s="519"/>
    </row>
    <row r="79" spans="1:23" ht="10.15" hidden="1" customHeight="1" x14ac:dyDescent="0.2">
      <c r="C79" s="935"/>
      <c r="D79" s="935"/>
      <c r="E79" s="935"/>
      <c r="F79" s="935"/>
      <c r="G79" s="935"/>
      <c r="H79" s="935"/>
      <c r="I79" s="935"/>
      <c r="J79" s="935"/>
      <c r="K79" s="935"/>
      <c r="L79" s="935"/>
      <c r="M79" s="935"/>
      <c r="N79" s="935"/>
      <c r="O79" s="935"/>
      <c r="P79" s="935"/>
      <c r="Q79" s="935"/>
      <c r="R79" s="935"/>
      <c r="S79" s="935"/>
      <c r="T79" s="905"/>
    </row>
    <row r="80" spans="1:23" s="2" customFormat="1" x14ac:dyDescent="0.2">
      <c r="B80" s="39" t="s">
        <v>129</v>
      </c>
      <c r="C80" s="931">
        <f>SUM(C72:C79)</f>
        <v>18005325</v>
      </c>
      <c r="D80" s="931">
        <f t="shared" ref="D80:S80" si="14">SUM(D72:D79)</f>
        <v>44374662</v>
      </c>
      <c r="E80" s="931">
        <f t="shared" si="14"/>
        <v>0</v>
      </c>
      <c r="F80" s="931">
        <f t="shared" si="14"/>
        <v>0</v>
      </c>
      <c r="G80" s="931">
        <f t="shared" si="14"/>
        <v>0</v>
      </c>
      <c r="H80" s="931">
        <f t="shared" si="14"/>
        <v>0</v>
      </c>
      <c r="I80" s="931">
        <f t="shared" si="14"/>
        <v>503560</v>
      </c>
      <c r="J80" s="931">
        <f t="shared" si="14"/>
        <v>1510973</v>
      </c>
      <c r="K80" s="931">
        <f t="shared" si="14"/>
        <v>1580259</v>
      </c>
      <c r="L80" s="931">
        <f t="shared" si="14"/>
        <v>915610</v>
      </c>
      <c r="M80" s="931">
        <f t="shared" si="14"/>
        <v>1506314</v>
      </c>
      <c r="N80" s="931">
        <f t="shared" si="14"/>
        <v>408574</v>
      </c>
      <c r="O80" s="931">
        <f t="shared" si="14"/>
        <v>198310</v>
      </c>
      <c r="P80" s="931">
        <f t="shared" si="14"/>
        <v>2847722</v>
      </c>
      <c r="Q80" s="931">
        <f t="shared" si="14"/>
        <v>1177819</v>
      </c>
      <c r="R80" s="931">
        <f t="shared" si="14"/>
        <v>614551</v>
      </c>
      <c r="S80" s="931">
        <f t="shared" si="14"/>
        <v>0</v>
      </c>
      <c r="T80" s="931">
        <f>SUM(C80:S80)</f>
        <v>73643679</v>
      </c>
      <c r="W80" s="53"/>
    </row>
    <row r="82" spans="1:23" x14ac:dyDescent="0.2">
      <c r="A82" s="22"/>
      <c r="B82" s="23" t="s">
        <v>306</v>
      </c>
      <c r="C82" s="24">
        <f>SUM(C80,C71)</f>
        <v>69589493</v>
      </c>
      <c r="D82" s="24">
        <f t="shared" ref="D82:S82" si="15">SUM(D80,D71)</f>
        <v>53861449</v>
      </c>
      <c r="E82" s="24">
        <f t="shared" si="15"/>
        <v>703266</v>
      </c>
      <c r="F82" s="24">
        <f t="shared" si="15"/>
        <v>6022857</v>
      </c>
      <c r="G82" s="24">
        <f t="shared" si="15"/>
        <v>227971</v>
      </c>
      <c r="H82" s="24">
        <f t="shared" si="15"/>
        <v>12536254</v>
      </c>
      <c r="I82" s="24">
        <f t="shared" si="15"/>
        <v>503560</v>
      </c>
      <c r="J82" s="24">
        <f t="shared" si="15"/>
        <v>7911140</v>
      </c>
      <c r="K82" s="24">
        <f t="shared" si="15"/>
        <v>4332759</v>
      </c>
      <c r="L82" s="24">
        <f t="shared" si="15"/>
        <v>1685658</v>
      </c>
      <c r="M82" s="24">
        <f>SUM(M80,M71)</f>
        <v>1876314</v>
      </c>
      <c r="N82" s="24">
        <f t="shared" si="15"/>
        <v>485062</v>
      </c>
      <c r="O82" s="24">
        <f t="shared" si="15"/>
        <v>220710</v>
      </c>
      <c r="P82" s="24">
        <f t="shared" si="15"/>
        <v>2877722</v>
      </c>
      <c r="Q82" s="24">
        <f t="shared" si="15"/>
        <v>11179819</v>
      </c>
      <c r="R82" s="24">
        <f t="shared" si="15"/>
        <v>830551</v>
      </c>
      <c r="S82" s="24">
        <f t="shared" si="15"/>
        <v>-9158251</v>
      </c>
      <c r="T82" s="944">
        <f>SUM(C82:S82)</f>
        <v>165686334</v>
      </c>
      <c r="U82" s="912">
        <f>F1-T82</f>
        <v>0</v>
      </c>
      <c r="V82" s="17"/>
    </row>
    <row r="83" spans="1:23" s="2" customFormat="1" x14ac:dyDescent="0.2">
      <c r="A83" s="27"/>
      <c r="B83" s="28" t="s">
        <v>131</v>
      </c>
      <c r="C83" s="285">
        <f t="shared" ref="C83:R83" si="16">SUM(C87:C225)</f>
        <v>69589493</v>
      </c>
      <c r="D83" s="285">
        <f>SUM(D87:D225)</f>
        <v>53861449</v>
      </c>
      <c r="E83" s="285">
        <f>SUM(E87:E225)</f>
        <v>703266</v>
      </c>
      <c r="F83" s="285">
        <f>SUM(F87:F225)</f>
        <v>6022857</v>
      </c>
      <c r="G83" s="285">
        <f>SUM(G87:G225)</f>
        <v>227971</v>
      </c>
      <c r="H83" s="285">
        <f>SUM(H87:H225)</f>
        <v>12536254</v>
      </c>
      <c r="I83" s="285">
        <f t="shared" ref="I83" si="17">SUM(I87:I225)</f>
        <v>503560</v>
      </c>
      <c r="J83" s="285">
        <f>SUM(J87:J225)</f>
        <v>7911140</v>
      </c>
      <c r="K83" s="285">
        <f>SUM(K87:K225)</f>
        <v>4332759</v>
      </c>
      <c r="L83" s="285">
        <f t="shared" si="16"/>
        <v>1685658</v>
      </c>
      <c r="M83" s="285">
        <f>SUM(M87:M225)</f>
        <v>1876314</v>
      </c>
      <c r="N83" s="285">
        <f t="shared" si="16"/>
        <v>485062</v>
      </c>
      <c r="O83" s="285">
        <f t="shared" si="16"/>
        <v>220710</v>
      </c>
      <c r="P83" s="285">
        <f t="shared" si="16"/>
        <v>2877722</v>
      </c>
      <c r="Q83" s="285">
        <f t="shared" si="16"/>
        <v>11179819</v>
      </c>
      <c r="R83" s="285">
        <f t="shared" si="16"/>
        <v>830551</v>
      </c>
      <c r="S83" s="285">
        <f>SUM(S87:S225)</f>
        <v>-9158251</v>
      </c>
      <c r="T83" s="522">
        <f>SUM(C83:S83)</f>
        <v>165686334</v>
      </c>
      <c r="W83" s="53"/>
    </row>
    <row r="84" spans="1:23" x14ac:dyDescent="0.2">
      <c r="A84" s="30"/>
      <c r="B84" s="286" t="s">
        <v>132</v>
      </c>
      <c r="C84" s="909">
        <f t="shared" ref="C84:T84" si="18">C82-C83</f>
        <v>0</v>
      </c>
      <c r="D84" s="909">
        <f t="shared" si="18"/>
        <v>0</v>
      </c>
      <c r="E84" s="909">
        <f t="shared" si="18"/>
        <v>0</v>
      </c>
      <c r="F84" s="909">
        <f t="shared" si="18"/>
        <v>0</v>
      </c>
      <c r="G84" s="909">
        <f t="shared" si="18"/>
        <v>0</v>
      </c>
      <c r="H84" s="909">
        <f t="shared" si="18"/>
        <v>0</v>
      </c>
      <c r="I84" s="909">
        <f t="shared" si="18"/>
        <v>0</v>
      </c>
      <c r="J84" s="909">
        <f t="shared" si="18"/>
        <v>0</v>
      </c>
      <c r="K84" s="909">
        <f t="shared" si="18"/>
        <v>0</v>
      </c>
      <c r="L84" s="909">
        <f t="shared" si="18"/>
        <v>0</v>
      </c>
      <c r="M84" s="909">
        <f t="shared" si="18"/>
        <v>0</v>
      </c>
      <c r="N84" s="909">
        <f t="shared" si="18"/>
        <v>0</v>
      </c>
      <c r="O84" s="909">
        <f t="shared" si="18"/>
        <v>0</v>
      </c>
      <c r="P84" s="909">
        <f t="shared" si="18"/>
        <v>0</v>
      </c>
      <c r="Q84" s="909">
        <f t="shared" si="18"/>
        <v>0</v>
      </c>
      <c r="R84" s="909">
        <f t="shared" si="18"/>
        <v>0</v>
      </c>
      <c r="S84" s="909">
        <f>S82-S83</f>
        <v>0</v>
      </c>
      <c r="T84" s="522">
        <f t="shared" si="18"/>
        <v>0</v>
      </c>
    </row>
    <row r="86" spans="1:23" x14ac:dyDescent="0.2">
      <c r="B86" s="2" t="s">
        <v>307</v>
      </c>
    </row>
    <row r="87" spans="1:23" x14ac:dyDescent="0.2">
      <c r="A87" s="2">
        <v>100</v>
      </c>
      <c r="B87" s="3" t="s">
        <v>134</v>
      </c>
      <c r="C87" s="935">
        <v>24650775.25</v>
      </c>
      <c r="D87" s="935">
        <v>0</v>
      </c>
      <c r="E87" s="935">
        <v>703266</v>
      </c>
      <c r="F87" s="935">
        <v>0</v>
      </c>
      <c r="G87" s="935">
        <v>0</v>
      </c>
      <c r="H87" s="935">
        <v>0</v>
      </c>
      <c r="I87" s="935">
        <v>482150</v>
      </c>
      <c r="J87" s="935">
        <v>847207</v>
      </c>
      <c r="K87" s="935">
        <v>0</v>
      </c>
      <c r="L87" s="935">
        <v>5000</v>
      </c>
      <c r="M87" s="935">
        <v>0</v>
      </c>
      <c r="N87" s="935">
        <v>232302</v>
      </c>
      <c r="O87" s="935">
        <v>0</v>
      </c>
      <c r="P87" s="935">
        <v>0</v>
      </c>
      <c r="Q87" s="935">
        <v>0</v>
      </c>
      <c r="R87" s="935">
        <v>0</v>
      </c>
      <c r="S87" s="935">
        <v>0</v>
      </c>
      <c r="T87" s="935">
        <f t="shared" ref="T87:T134" si="19">SUM(C87:S87)</f>
        <v>26920700.25</v>
      </c>
    </row>
    <row r="88" spans="1:23" x14ac:dyDescent="0.2">
      <c r="A88" s="2">
        <v>200</v>
      </c>
      <c r="B88" s="3" t="s">
        <v>135</v>
      </c>
      <c r="C88" s="935">
        <v>0</v>
      </c>
      <c r="D88" s="935">
        <v>0</v>
      </c>
      <c r="E88" s="935">
        <v>0</v>
      </c>
      <c r="F88" s="935">
        <v>0</v>
      </c>
      <c r="G88" s="935">
        <v>0</v>
      </c>
      <c r="H88" s="935">
        <v>12536254</v>
      </c>
      <c r="I88" s="935">
        <v>0</v>
      </c>
      <c r="J88" s="935">
        <v>0</v>
      </c>
      <c r="K88" s="935">
        <v>0</v>
      </c>
      <c r="L88" s="935">
        <v>0</v>
      </c>
      <c r="M88" s="935">
        <v>0</v>
      </c>
      <c r="N88" s="935">
        <v>0</v>
      </c>
      <c r="O88" s="935">
        <v>0</v>
      </c>
      <c r="P88" s="935">
        <v>0</v>
      </c>
      <c r="Q88" s="935">
        <v>0</v>
      </c>
      <c r="R88" s="935">
        <v>0</v>
      </c>
      <c r="S88" s="935">
        <v>0</v>
      </c>
      <c r="T88" s="935">
        <f t="shared" si="19"/>
        <v>12536254</v>
      </c>
    </row>
    <row r="89" spans="1:23" hidden="1" x14ac:dyDescent="0.2">
      <c r="A89" s="2" t="s">
        <v>10</v>
      </c>
      <c r="B89" s="3" t="s">
        <v>136</v>
      </c>
      <c r="C89" s="935">
        <v>0</v>
      </c>
      <c r="D89" s="935">
        <v>0</v>
      </c>
      <c r="E89" s="935">
        <v>0</v>
      </c>
      <c r="F89" s="935">
        <v>0</v>
      </c>
      <c r="G89" s="935">
        <v>0</v>
      </c>
      <c r="H89" s="935">
        <v>0</v>
      </c>
      <c r="I89" s="935">
        <v>0</v>
      </c>
      <c r="J89" s="935">
        <v>0</v>
      </c>
      <c r="K89" s="935">
        <v>0</v>
      </c>
      <c r="L89" s="935">
        <v>0</v>
      </c>
      <c r="M89" s="935">
        <v>0</v>
      </c>
      <c r="N89" s="935">
        <v>0</v>
      </c>
      <c r="O89" s="935">
        <v>0</v>
      </c>
      <c r="P89" s="935">
        <v>0</v>
      </c>
      <c r="Q89" s="935">
        <v>0</v>
      </c>
      <c r="R89" s="935">
        <v>0</v>
      </c>
      <c r="S89" s="935">
        <v>0</v>
      </c>
      <c r="T89" s="935">
        <f t="shared" si="19"/>
        <v>0</v>
      </c>
    </row>
    <row r="90" spans="1:23" hidden="1" x14ac:dyDescent="0.2">
      <c r="A90" s="2">
        <v>270</v>
      </c>
      <c r="B90" s="3" t="s">
        <v>137</v>
      </c>
      <c r="C90" s="935">
        <v>0</v>
      </c>
      <c r="D90" s="935">
        <v>0</v>
      </c>
      <c r="E90" s="935">
        <v>0</v>
      </c>
      <c r="F90" s="935">
        <v>0</v>
      </c>
      <c r="G90" s="935">
        <v>0</v>
      </c>
      <c r="H90" s="935">
        <v>0</v>
      </c>
      <c r="I90" s="935">
        <v>0</v>
      </c>
      <c r="J90" s="935">
        <v>0</v>
      </c>
      <c r="K90" s="935">
        <v>0</v>
      </c>
      <c r="L90" s="935">
        <v>0</v>
      </c>
      <c r="M90" s="935">
        <v>0</v>
      </c>
      <c r="N90" s="935">
        <v>0</v>
      </c>
      <c r="O90" s="935">
        <v>0</v>
      </c>
      <c r="P90" s="935">
        <v>0</v>
      </c>
      <c r="Q90" s="935">
        <v>0</v>
      </c>
      <c r="R90" s="935">
        <v>0</v>
      </c>
      <c r="S90" s="935">
        <v>0</v>
      </c>
      <c r="T90" s="935">
        <f t="shared" si="19"/>
        <v>0</v>
      </c>
    </row>
    <row r="91" spans="1:23" hidden="1" x14ac:dyDescent="0.2">
      <c r="A91" s="2" t="s">
        <v>10</v>
      </c>
      <c r="B91" s="3" t="s">
        <v>138</v>
      </c>
      <c r="C91" s="935">
        <v>0</v>
      </c>
      <c r="D91" s="935">
        <v>0</v>
      </c>
      <c r="E91" s="935">
        <v>0</v>
      </c>
      <c r="F91" s="935">
        <v>0</v>
      </c>
      <c r="G91" s="935">
        <v>0</v>
      </c>
      <c r="H91" s="935">
        <v>0</v>
      </c>
      <c r="I91" s="935">
        <v>0</v>
      </c>
      <c r="J91" s="935">
        <v>0</v>
      </c>
      <c r="K91" s="935">
        <v>0</v>
      </c>
      <c r="L91" s="935">
        <v>0</v>
      </c>
      <c r="M91" s="935">
        <v>0</v>
      </c>
      <c r="N91" s="935">
        <v>0</v>
      </c>
      <c r="O91" s="935">
        <v>0</v>
      </c>
      <c r="P91" s="935">
        <v>0</v>
      </c>
      <c r="Q91" s="935">
        <v>0</v>
      </c>
      <c r="R91" s="935">
        <v>0</v>
      </c>
      <c r="S91" s="935">
        <v>0</v>
      </c>
      <c r="T91" s="935">
        <f t="shared" si="19"/>
        <v>0</v>
      </c>
    </row>
    <row r="92" spans="1:23" x14ac:dyDescent="0.2">
      <c r="A92" s="2">
        <v>300</v>
      </c>
      <c r="B92" s="3" t="s">
        <v>139</v>
      </c>
      <c r="C92" s="935">
        <v>879886</v>
      </c>
      <c r="D92" s="935">
        <v>0</v>
      </c>
      <c r="E92" s="935">
        <v>0</v>
      </c>
      <c r="F92" s="935">
        <v>0</v>
      </c>
      <c r="G92" s="935">
        <v>0</v>
      </c>
      <c r="H92" s="935">
        <v>0</v>
      </c>
      <c r="I92" s="935">
        <v>0</v>
      </c>
      <c r="J92" s="935">
        <v>72220</v>
      </c>
      <c r="K92" s="935">
        <v>0</v>
      </c>
      <c r="L92" s="935">
        <v>0</v>
      </c>
      <c r="M92" s="935">
        <v>0</v>
      </c>
      <c r="N92" s="935">
        <v>0</v>
      </c>
      <c r="O92" s="935">
        <v>0</v>
      </c>
      <c r="P92" s="935">
        <v>0</v>
      </c>
      <c r="Q92" s="935">
        <v>0</v>
      </c>
      <c r="R92" s="935">
        <v>0</v>
      </c>
      <c r="S92" s="935">
        <v>0</v>
      </c>
      <c r="T92" s="935">
        <f t="shared" si="19"/>
        <v>952106</v>
      </c>
    </row>
    <row r="93" spans="1:23" x14ac:dyDescent="0.2">
      <c r="A93" s="2">
        <v>400</v>
      </c>
      <c r="B93" s="3" t="s">
        <v>140</v>
      </c>
      <c r="C93" s="935">
        <v>149859</v>
      </c>
      <c r="D93" s="935">
        <v>0</v>
      </c>
      <c r="E93" s="935">
        <v>0</v>
      </c>
      <c r="F93" s="935">
        <v>0</v>
      </c>
      <c r="G93" s="935">
        <v>0</v>
      </c>
      <c r="H93" s="935">
        <v>0</v>
      </c>
      <c r="I93" s="935">
        <v>0</v>
      </c>
      <c r="J93" s="935">
        <v>0</v>
      </c>
      <c r="K93" s="935">
        <v>0</v>
      </c>
      <c r="L93" s="935">
        <v>0</v>
      </c>
      <c r="M93" s="935">
        <v>0</v>
      </c>
      <c r="N93" s="935">
        <v>0</v>
      </c>
      <c r="O93" s="935">
        <v>0</v>
      </c>
      <c r="P93" s="935">
        <v>0</v>
      </c>
      <c r="Q93" s="935">
        <v>0</v>
      </c>
      <c r="R93" s="935">
        <v>0</v>
      </c>
      <c r="S93" s="935">
        <v>0</v>
      </c>
      <c r="T93" s="935">
        <f t="shared" si="19"/>
        <v>149859</v>
      </c>
    </row>
    <row r="94" spans="1:23" hidden="1" x14ac:dyDescent="0.2">
      <c r="A94" s="2" t="s">
        <v>10</v>
      </c>
      <c r="B94" s="3" t="s">
        <v>141</v>
      </c>
      <c r="C94" s="935">
        <v>0</v>
      </c>
      <c r="D94" s="935">
        <v>0</v>
      </c>
      <c r="E94" s="935">
        <v>0</v>
      </c>
      <c r="F94" s="935">
        <v>0</v>
      </c>
      <c r="G94" s="935">
        <v>0</v>
      </c>
      <c r="H94" s="935">
        <v>0</v>
      </c>
      <c r="I94" s="935">
        <v>0</v>
      </c>
      <c r="J94" s="935">
        <v>0</v>
      </c>
      <c r="K94" s="935">
        <v>0</v>
      </c>
      <c r="L94" s="935">
        <v>0</v>
      </c>
      <c r="M94" s="935">
        <v>0</v>
      </c>
      <c r="N94" s="935">
        <v>0</v>
      </c>
      <c r="O94" s="935">
        <v>0</v>
      </c>
      <c r="P94" s="935">
        <v>0</v>
      </c>
      <c r="Q94" s="935">
        <v>0</v>
      </c>
      <c r="R94" s="935">
        <v>0</v>
      </c>
      <c r="S94" s="935">
        <v>0</v>
      </c>
      <c r="T94" s="935">
        <f t="shared" si="19"/>
        <v>0</v>
      </c>
    </row>
    <row r="95" spans="1:23" hidden="1" x14ac:dyDescent="0.2">
      <c r="A95" s="2" t="s">
        <v>10</v>
      </c>
      <c r="B95" s="3" t="s">
        <v>142</v>
      </c>
      <c r="C95" s="935">
        <v>0</v>
      </c>
      <c r="D95" s="935">
        <v>0</v>
      </c>
      <c r="E95" s="935">
        <v>0</v>
      </c>
      <c r="F95" s="935">
        <v>0</v>
      </c>
      <c r="G95" s="935">
        <v>0</v>
      </c>
      <c r="H95" s="935">
        <v>0</v>
      </c>
      <c r="I95" s="935">
        <v>0</v>
      </c>
      <c r="J95" s="935">
        <v>0</v>
      </c>
      <c r="K95" s="935">
        <v>0</v>
      </c>
      <c r="L95" s="935">
        <v>0</v>
      </c>
      <c r="M95" s="935">
        <v>0</v>
      </c>
      <c r="N95" s="935">
        <v>0</v>
      </c>
      <c r="O95" s="935">
        <v>0</v>
      </c>
      <c r="P95" s="935">
        <v>0</v>
      </c>
      <c r="Q95" s="935">
        <v>0</v>
      </c>
      <c r="R95" s="935">
        <v>0</v>
      </c>
      <c r="S95" s="935">
        <v>0</v>
      </c>
      <c r="T95" s="935">
        <f t="shared" si="19"/>
        <v>0</v>
      </c>
    </row>
    <row r="96" spans="1:23" hidden="1" x14ac:dyDescent="0.2">
      <c r="A96" s="2">
        <v>430</v>
      </c>
      <c r="B96" s="3" t="s">
        <v>548</v>
      </c>
      <c r="C96" s="935">
        <v>0</v>
      </c>
      <c r="D96" s="935">
        <v>0</v>
      </c>
      <c r="E96" s="935">
        <v>0</v>
      </c>
      <c r="F96" s="935">
        <v>0</v>
      </c>
      <c r="G96" s="935">
        <v>0</v>
      </c>
      <c r="H96" s="935">
        <v>0</v>
      </c>
      <c r="I96" s="935">
        <v>0</v>
      </c>
      <c r="J96" s="935">
        <v>0</v>
      </c>
      <c r="K96" s="935">
        <v>0</v>
      </c>
      <c r="L96" s="935">
        <v>0</v>
      </c>
      <c r="M96" s="935">
        <v>0</v>
      </c>
      <c r="N96" s="935">
        <v>0</v>
      </c>
      <c r="O96" s="935">
        <v>0</v>
      </c>
      <c r="P96" s="935">
        <v>0</v>
      </c>
      <c r="Q96" s="935">
        <v>0</v>
      </c>
      <c r="R96" s="935">
        <v>0</v>
      </c>
      <c r="S96" s="935">
        <v>0</v>
      </c>
      <c r="T96" s="935">
        <f t="shared" si="19"/>
        <v>0</v>
      </c>
    </row>
    <row r="97" spans="1:23" hidden="1" x14ac:dyDescent="0.2">
      <c r="A97" s="2">
        <v>440</v>
      </c>
      <c r="B97" s="3" t="s">
        <v>143</v>
      </c>
      <c r="C97" s="935">
        <v>0</v>
      </c>
      <c r="D97" s="935">
        <v>0</v>
      </c>
      <c r="E97" s="935">
        <v>0</v>
      </c>
      <c r="F97" s="935">
        <v>0</v>
      </c>
      <c r="G97" s="935">
        <v>0</v>
      </c>
      <c r="H97" s="935">
        <v>0</v>
      </c>
      <c r="I97" s="935">
        <v>0</v>
      </c>
      <c r="J97" s="935">
        <v>0</v>
      </c>
      <c r="K97" s="935">
        <v>0</v>
      </c>
      <c r="L97" s="935">
        <v>0</v>
      </c>
      <c r="M97" s="935">
        <v>0</v>
      </c>
      <c r="N97" s="935">
        <v>0</v>
      </c>
      <c r="O97" s="935">
        <v>0</v>
      </c>
      <c r="P97" s="935">
        <v>0</v>
      </c>
      <c r="Q97" s="935">
        <v>0</v>
      </c>
      <c r="R97" s="935">
        <v>0</v>
      </c>
      <c r="S97" s="935">
        <v>0</v>
      </c>
      <c r="T97" s="935">
        <f t="shared" si="19"/>
        <v>0</v>
      </c>
    </row>
    <row r="98" spans="1:23" hidden="1" x14ac:dyDescent="0.2">
      <c r="A98" s="2">
        <v>500</v>
      </c>
      <c r="B98" s="3" t="s">
        <v>144</v>
      </c>
      <c r="C98" s="935">
        <v>0</v>
      </c>
      <c r="D98" s="935">
        <v>0</v>
      </c>
      <c r="E98" s="935">
        <v>0</v>
      </c>
      <c r="F98" s="935">
        <v>0</v>
      </c>
      <c r="G98" s="935">
        <v>0</v>
      </c>
      <c r="H98" s="935">
        <v>0</v>
      </c>
      <c r="I98" s="935">
        <v>0</v>
      </c>
      <c r="J98" s="935">
        <v>0</v>
      </c>
      <c r="K98" s="935">
        <v>0</v>
      </c>
      <c r="L98" s="935">
        <v>0</v>
      </c>
      <c r="M98" s="935">
        <v>0</v>
      </c>
      <c r="N98" s="935">
        <v>0</v>
      </c>
      <c r="O98" s="935">
        <v>0</v>
      </c>
      <c r="P98" s="935">
        <v>0</v>
      </c>
      <c r="Q98" s="935">
        <v>0</v>
      </c>
      <c r="R98" s="935">
        <v>0</v>
      </c>
      <c r="S98" s="935">
        <v>0</v>
      </c>
      <c r="T98" s="935">
        <f t="shared" si="19"/>
        <v>0</v>
      </c>
    </row>
    <row r="99" spans="1:23" hidden="1" x14ac:dyDescent="0.2">
      <c r="A99" s="2">
        <v>600</v>
      </c>
      <c r="B99" s="3" t="s">
        <v>145</v>
      </c>
      <c r="C99" s="935">
        <v>0</v>
      </c>
      <c r="D99" s="935">
        <v>0</v>
      </c>
      <c r="E99" s="935">
        <v>0</v>
      </c>
      <c r="F99" s="935">
        <v>0</v>
      </c>
      <c r="G99" s="935">
        <v>0</v>
      </c>
      <c r="H99" s="935">
        <v>0</v>
      </c>
      <c r="I99" s="935">
        <v>0</v>
      </c>
      <c r="J99" s="935">
        <v>0</v>
      </c>
      <c r="K99" s="935">
        <v>0</v>
      </c>
      <c r="L99" s="935">
        <v>0</v>
      </c>
      <c r="M99" s="935">
        <v>0</v>
      </c>
      <c r="N99" s="935">
        <v>0</v>
      </c>
      <c r="O99" s="935">
        <v>0</v>
      </c>
      <c r="P99" s="935">
        <v>0</v>
      </c>
      <c r="Q99" s="935">
        <v>0</v>
      </c>
      <c r="R99" s="935">
        <v>0</v>
      </c>
      <c r="S99" s="935">
        <v>0</v>
      </c>
      <c r="T99" s="935">
        <f t="shared" si="19"/>
        <v>0</v>
      </c>
    </row>
    <row r="100" spans="1:23" x14ac:dyDescent="0.2">
      <c r="A100" s="2">
        <v>800</v>
      </c>
      <c r="B100" s="3" t="s">
        <v>146</v>
      </c>
      <c r="C100" s="935">
        <v>3000</v>
      </c>
      <c r="D100" s="935">
        <v>0</v>
      </c>
      <c r="E100" s="935">
        <v>0</v>
      </c>
      <c r="F100" s="935">
        <v>0</v>
      </c>
      <c r="G100" s="935">
        <v>0</v>
      </c>
      <c r="H100" s="935">
        <v>0</v>
      </c>
      <c r="I100" s="935">
        <v>0</v>
      </c>
      <c r="J100" s="935">
        <v>0</v>
      </c>
      <c r="K100" s="935">
        <v>0</v>
      </c>
      <c r="L100" s="935">
        <v>0</v>
      </c>
      <c r="M100" s="935">
        <v>0</v>
      </c>
      <c r="N100" s="935">
        <v>0</v>
      </c>
      <c r="O100" s="935">
        <v>0</v>
      </c>
      <c r="P100" s="935">
        <v>0</v>
      </c>
      <c r="Q100" s="935">
        <v>0</v>
      </c>
      <c r="R100" s="935">
        <v>0</v>
      </c>
      <c r="S100" s="935">
        <v>0</v>
      </c>
      <c r="T100" s="935">
        <f t="shared" si="19"/>
        <v>3000</v>
      </c>
    </row>
    <row r="101" spans="1:23" x14ac:dyDescent="0.2">
      <c r="A101" s="2">
        <v>910</v>
      </c>
      <c r="B101" s="3" t="s">
        <v>147</v>
      </c>
      <c r="C101" s="935">
        <v>177114</v>
      </c>
      <c r="D101" s="935">
        <v>0</v>
      </c>
      <c r="E101" s="935">
        <v>0</v>
      </c>
      <c r="F101" s="935">
        <v>0</v>
      </c>
      <c r="G101" s="935">
        <v>0</v>
      </c>
      <c r="H101" s="935">
        <v>0</v>
      </c>
      <c r="I101" s="935">
        <v>0</v>
      </c>
      <c r="J101" s="935">
        <v>0</v>
      </c>
      <c r="K101" s="935">
        <v>0</v>
      </c>
      <c r="L101" s="935">
        <v>0</v>
      </c>
      <c r="M101" s="935">
        <v>0</v>
      </c>
      <c r="N101" s="935">
        <v>0</v>
      </c>
      <c r="O101" s="935">
        <v>0</v>
      </c>
      <c r="P101" s="935">
        <v>0</v>
      </c>
      <c r="Q101" s="935">
        <v>0</v>
      </c>
      <c r="R101" s="935">
        <v>0</v>
      </c>
      <c r="S101" s="935">
        <v>0</v>
      </c>
      <c r="T101" s="935">
        <f t="shared" si="19"/>
        <v>177114</v>
      </c>
    </row>
    <row r="102" spans="1:23" x14ac:dyDescent="0.2">
      <c r="A102" s="2">
        <v>920</v>
      </c>
      <c r="B102" s="3" t="s">
        <v>148</v>
      </c>
      <c r="C102" s="935">
        <v>906162</v>
      </c>
      <c r="D102" s="935">
        <v>0</v>
      </c>
      <c r="E102" s="935">
        <v>0</v>
      </c>
      <c r="F102" s="935">
        <v>0</v>
      </c>
      <c r="G102" s="935">
        <v>0</v>
      </c>
      <c r="H102" s="935">
        <v>0</v>
      </c>
      <c r="I102" s="935">
        <v>0</v>
      </c>
      <c r="J102" s="935">
        <v>0</v>
      </c>
      <c r="K102" s="935">
        <v>0</v>
      </c>
      <c r="L102" s="935">
        <v>0</v>
      </c>
      <c r="M102" s="935">
        <v>0</v>
      </c>
      <c r="N102" s="935">
        <v>0</v>
      </c>
      <c r="O102" s="935">
        <v>0</v>
      </c>
      <c r="P102" s="935">
        <v>0</v>
      </c>
      <c r="Q102" s="935">
        <v>0</v>
      </c>
      <c r="R102" s="935">
        <v>0</v>
      </c>
      <c r="S102" s="935">
        <v>0</v>
      </c>
      <c r="T102" s="935">
        <f t="shared" si="19"/>
        <v>906162</v>
      </c>
    </row>
    <row r="103" spans="1:23" x14ac:dyDescent="0.2">
      <c r="C103" s="935"/>
      <c r="D103" s="935"/>
      <c r="E103" s="935"/>
      <c r="F103" s="935"/>
      <c r="G103" s="935"/>
      <c r="H103" s="935"/>
      <c r="I103" s="935"/>
      <c r="J103" s="935"/>
      <c r="K103" s="935"/>
      <c r="L103" s="935"/>
      <c r="M103" s="935"/>
      <c r="N103" s="935"/>
      <c r="O103" s="935"/>
      <c r="P103" s="935"/>
      <c r="Q103" s="935"/>
      <c r="R103" s="935"/>
      <c r="S103" s="935"/>
      <c r="T103" s="935">
        <f t="shared" si="19"/>
        <v>0</v>
      </c>
    </row>
    <row r="104" spans="1:23" x14ac:dyDescent="0.2">
      <c r="A104" s="2" t="s">
        <v>149</v>
      </c>
      <c r="B104" s="2" t="s">
        <v>150</v>
      </c>
      <c r="C104" s="935"/>
      <c r="D104" s="935"/>
      <c r="E104" s="935"/>
      <c r="F104" s="935"/>
      <c r="G104" s="935"/>
      <c r="H104" s="935"/>
      <c r="I104" s="935"/>
      <c r="J104" s="935"/>
      <c r="K104" s="935"/>
      <c r="L104" s="935"/>
      <c r="M104" s="935"/>
      <c r="N104" s="935"/>
      <c r="O104" s="935"/>
      <c r="P104" s="935"/>
      <c r="Q104" s="935"/>
      <c r="R104" s="935"/>
      <c r="S104" s="935"/>
      <c r="T104" s="935">
        <f t="shared" si="19"/>
        <v>0</v>
      </c>
    </row>
    <row r="105" spans="1:23" x14ac:dyDescent="0.2">
      <c r="A105" s="2">
        <v>2100</v>
      </c>
      <c r="B105" s="3" t="s">
        <v>151</v>
      </c>
      <c r="C105" s="935">
        <v>1998926</v>
      </c>
      <c r="D105" s="935">
        <v>0</v>
      </c>
      <c r="E105" s="935">
        <v>0</v>
      </c>
      <c r="F105" s="935">
        <v>50000</v>
      </c>
      <c r="G105" s="935">
        <v>0</v>
      </c>
      <c r="H105" s="935">
        <v>0</v>
      </c>
      <c r="I105" s="935">
        <v>0</v>
      </c>
      <c r="J105" s="935">
        <v>0</v>
      </c>
      <c r="K105" s="935">
        <v>0</v>
      </c>
      <c r="L105" s="935">
        <v>0</v>
      </c>
      <c r="M105" s="935">
        <v>0</v>
      </c>
      <c r="N105" s="935">
        <v>2261.25</v>
      </c>
      <c r="O105" s="935">
        <v>0</v>
      </c>
      <c r="P105" s="935">
        <v>0</v>
      </c>
      <c r="Q105" s="935">
        <v>0</v>
      </c>
      <c r="R105" s="935">
        <v>0</v>
      </c>
      <c r="S105" s="935">
        <v>0</v>
      </c>
      <c r="T105" s="935">
        <f t="shared" si="19"/>
        <v>2051187.25</v>
      </c>
    </row>
    <row r="106" spans="1:23" x14ac:dyDescent="0.2">
      <c r="A106" s="2">
        <v>2200</v>
      </c>
      <c r="B106" s="3" t="s">
        <v>152</v>
      </c>
      <c r="C106" s="935">
        <v>1013114</v>
      </c>
      <c r="D106" s="935">
        <v>0</v>
      </c>
      <c r="E106" s="935">
        <v>0</v>
      </c>
      <c r="F106" s="935">
        <v>0</v>
      </c>
      <c r="G106" s="935">
        <v>0</v>
      </c>
      <c r="H106" s="935">
        <v>0</v>
      </c>
      <c r="I106" s="935">
        <v>0</v>
      </c>
      <c r="J106" s="935">
        <v>0</v>
      </c>
      <c r="K106" s="935">
        <v>0</v>
      </c>
      <c r="L106" s="935">
        <v>0</v>
      </c>
      <c r="M106" s="935">
        <v>0</v>
      </c>
      <c r="N106" s="935">
        <v>0</v>
      </c>
      <c r="O106" s="935">
        <v>0</v>
      </c>
      <c r="P106" s="935">
        <v>0</v>
      </c>
      <c r="Q106" s="935">
        <v>0</v>
      </c>
      <c r="R106" s="935">
        <v>0</v>
      </c>
      <c r="S106" s="935">
        <v>0</v>
      </c>
      <c r="T106" s="935">
        <f t="shared" si="19"/>
        <v>1013114</v>
      </c>
      <c r="U106" s="4"/>
      <c r="V106" s="4"/>
      <c r="W106" s="4"/>
    </row>
    <row r="107" spans="1:23" x14ac:dyDescent="0.2">
      <c r="A107" s="2">
        <v>2300</v>
      </c>
      <c r="B107" s="3" t="s">
        <v>153</v>
      </c>
      <c r="C107" s="935">
        <v>1596379</v>
      </c>
      <c r="D107" s="935">
        <v>0</v>
      </c>
      <c r="E107" s="935">
        <v>0</v>
      </c>
      <c r="F107" s="935">
        <v>0</v>
      </c>
      <c r="G107" s="935">
        <v>0</v>
      </c>
      <c r="H107" s="935">
        <v>0</v>
      </c>
      <c r="I107" s="935">
        <v>0</v>
      </c>
      <c r="J107" s="935">
        <v>0</v>
      </c>
      <c r="K107" s="935">
        <v>0</v>
      </c>
      <c r="L107" s="935">
        <v>0</v>
      </c>
      <c r="M107" s="935">
        <v>0</v>
      </c>
      <c r="N107" s="935">
        <v>5000.25</v>
      </c>
      <c r="O107" s="935">
        <v>0</v>
      </c>
      <c r="P107" s="935">
        <v>0</v>
      </c>
      <c r="Q107" s="935">
        <v>0</v>
      </c>
      <c r="R107" s="935">
        <v>0</v>
      </c>
      <c r="S107" s="935">
        <v>0</v>
      </c>
      <c r="T107" s="935">
        <f t="shared" si="19"/>
        <v>1601379.25</v>
      </c>
      <c r="U107" s="933"/>
      <c r="V107" s="12"/>
      <c r="W107" s="12"/>
    </row>
    <row r="108" spans="1:23" x14ac:dyDescent="0.2">
      <c r="A108" s="2">
        <v>2400</v>
      </c>
      <c r="B108" s="3" t="s">
        <v>154</v>
      </c>
      <c r="C108" s="935">
        <v>4816631</v>
      </c>
      <c r="D108" s="935">
        <v>0</v>
      </c>
      <c r="E108" s="935">
        <v>0</v>
      </c>
      <c r="F108" s="935">
        <v>0</v>
      </c>
      <c r="G108" s="935">
        <v>0</v>
      </c>
      <c r="H108" s="935">
        <v>0</v>
      </c>
      <c r="I108" s="935">
        <v>0</v>
      </c>
      <c r="J108" s="935">
        <v>0</v>
      </c>
      <c r="K108" s="935">
        <v>0</v>
      </c>
      <c r="L108" s="935">
        <v>0</v>
      </c>
      <c r="M108" s="935">
        <v>0</v>
      </c>
      <c r="N108" s="935">
        <v>1000.25</v>
      </c>
      <c r="O108" s="935">
        <v>0</v>
      </c>
      <c r="P108" s="935">
        <v>0</v>
      </c>
      <c r="Q108" s="935">
        <v>0</v>
      </c>
      <c r="R108" s="935">
        <v>0</v>
      </c>
      <c r="S108" s="935">
        <v>0</v>
      </c>
      <c r="T108" s="935">
        <f t="shared" si="19"/>
        <v>4817631.25</v>
      </c>
      <c r="U108" s="956"/>
      <c r="V108" s="495"/>
      <c r="W108" s="495"/>
    </row>
    <row r="109" spans="1:23" x14ac:dyDescent="0.2">
      <c r="A109" s="2">
        <v>2500</v>
      </c>
      <c r="B109" s="3" t="s">
        <v>155</v>
      </c>
      <c r="C109" s="935">
        <v>3408543</v>
      </c>
      <c r="D109" s="935">
        <v>0</v>
      </c>
      <c r="E109" s="935">
        <v>0</v>
      </c>
      <c r="F109" s="935">
        <v>0</v>
      </c>
      <c r="G109" s="935">
        <v>0</v>
      </c>
      <c r="H109" s="935">
        <v>0</v>
      </c>
      <c r="I109" s="935">
        <v>21410</v>
      </c>
      <c r="J109" s="935">
        <v>878766</v>
      </c>
      <c r="K109" s="935">
        <v>0</v>
      </c>
      <c r="L109" s="935">
        <v>0</v>
      </c>
      <c r="M109" s="935">
        <v>0</v>
      </c>
      <c r="N109" s="935">
        <v>2600.25</v>
      </c>
      <c r="O109" s="935">
        <v>0</v>
      </c>
      <c r="P109" s="935">
        <v>0</v>
      </c>
      <c r="Q109" s="935">
        <v>0</v>
      </c>
      <c r="R109" s="935">
        <v>0</v>
      </c>
      <c r="S109" s="935">
        <v>0</v>
      </c>
      <c r="T109" s="935">
        <f t="shared" si="19"/>
        <v>4311319.25</v>
      </c>
    </row>
    <row r="110" spans="1:23" x14ac:dyDescent="0.2">
      <c r="A110" s="2">
        <v>2600</v>
      </c>
      <c r="B110" s="3" t="s">
        <v>156</v>
      </c>
      <c r="C110" s="935">
        <v>7688525.25</v>
      </c>
      <c r="D110" s="935">
        <v>0</v>
      </c>
      <c r="E110" s="935">
        <v>0</v>
      </c>
      <c r="F110" s="935">
        <v>0</v>
      </c>
      <c r="G110" s="935">
        <v>0</v>
      </c>
      <c r="H110" s="935">
        <v>0</v>
      </c>
      <c r="I110" s="935">
        <v>0</v>
      </c>
      <c r="J110" s="935">
        <v>0</v>
      </c>
      <c r="K110" s="935">
        <v>0</v>
      </c>
      <c r="L110" s="935">
        <v>595000</v>
      </c>
      <c r="M110" s="935">
        <v>0</v>
      </c>
      <c r="N110" s="935">
        <v>141898</v>
      </c>
      <c r="O110" s="935">
        <v>84710</v>
      </c>
      <c r="P110" s="935">
        <v>0</v>
      </c>
      <c r="Q110" s="935">
        <v>0</v>
      </c>
      <c r="R110" s="935">
        <v>0</v>
      </c>
      <c r="S110" s="935">
        <v>0</v>
      </c>
      <c r="T110" s="935">
        <f t="shared" si="19"/>
        <v>8510133.25</v>
      </c>
    </row>
    <row r="111" spans="1:23" x14ac:dyDescent="0.2">
      <c r="A111" s="2">
        <v>2700</v>
      </c>
      <c r="B111" s="3" t="s">
        <v>157</v>
      </c>
      <c r="C111" s="935">
        <v>3460145</v>
      </c>
      <c r="D111" s="935">
        <v>0</v>
      </c>
      <c r="E111" s="935">
        <v>0</v>
      </c>
      <c r="F111" s="935">
        <v>0</v>
      </c>
      <c r="G111" s="935">
        <v>0</v>
      </c>
      <c r="H111" s="935">
        <v>0</v>
      </c>
      <c r="I111" s="935">
        <v>0</v>
      </c>
      <c r="J111" s="935">
        <v>0</v>
      </c>
      <c r="K111" s="935">
        <v>0</v>
      </c>
      <c r="L111" s="935">
        <v>221329</v>
      </c>
      <c r="M111" s="935">
        <v>0</v>
      </c>
      <c r="N111" s="935">
        <v>0</v>
      </c>
      <c r="O111" s="935">
        <v>0</v>
      </c>
      <c r="P111" s="935">
        <v>0</v>
      </c>
      <c r="Q111" s="935">
        <v>0</v>
      </c>
      <c r="R111" s="935">
        <v>0</v>
      </c>
      <c r="S111" s="935">
        <v>0</v>
      </c>
      <c r="T111" s="935">
        <f t="shared" si="19"/>
        <v>3681474</v>
      </c>
    </row>
    <row r="112" spans="1:23" hidden="1" x14ac:dyDescent="0.2">
      <c r="A112" s="2">
        <v>2900</v>
      </c>
      <c r="B112" s="3" t="s">
        <v>158</v>
      </c>
      <c r="C112" s="935">
        <v>0</v>
      </c>
      <c r="D112" s="935">
        <v>0</v>
      </c>
      <c r="E112" s="935">
        <v>0</v>
      </c>
      <c r="F112" s="935">
        <v>0</v>
      </c>
      <c r="G112" s="935">
        <v>0</v>
      </c>
      <c r="H112" s="935">
        <v>0</v>
      </c>
      <c r="I112" s="935">
        <v>0</v>
      </c>
      <c r="J112" s="935">
        <v>0</v>
      </c>
      <c r="K112" s="935">
        <v>0</v>
      </c>
      <c r="L112" s="935">
        <v>0</v>
      </c>
      <c r="M112" s="935">
        <v>0</v>
      </c>
      <c r="N112" s="935">
        <v>0</v>
      </c>
      <c r="O112" s="935">
        <v>0</v>
      </c>
      <c r="P112" s="935">
        <v>0</v>
      </c>
      <c r="Q112" s="935">
        <v>0</v>
      </c>
      <c r="R112" s="935">
        <v>0</v>
      </c>
      <c r="S112" s="935">
        <v>0</v>
      </c>
      <c r="T112" s="935">
        <f t="shared" si="19"/>
        <v>0</v>
      </c>
    </row>
    <row r="113" spans="1:20" hidden="1" x14ac:dyDescent="0.2">
      <c r="A113" s="2">
        <v>3000</v>
      </c>
      <c r="B113" s="3" t="s">
        <v>159</v>
      </c>
      <c r="C113" s="935">
        <v>0</v>
      </c>
      <c r="D113" s="935">
        <v>0</v>
      </c>
      <c r="E113" s="935">
        <v>0</v>
      </c>
      <c r="F113" s="935">
        <v>0</v>
      </c>
      <c r="G113" s="935">
        <v>0</v>
      </c>
      <c r="H113" s="935">
        <v>0</v>
      </c>
      <c r="I113" s="935">
        <v>0</v>
      </c>
      <c r="J113" s="935">
        <v>0</v>
      </c>
      <c r="K113" s="935">
        <v>0</v>
      </c>
      <c r="L113" s="935">
        <v>0</v>
      </c>
      <c r="M113" s="935">
        <v>0</v>
      </c>
      <c r="N113" s="935">
        <v>0</v>
      </c>
      <c r="O113" s="935">
        <v>0</v>
      </c>
      <c r="P113" s="935">
        <v>0</v>
      </c>
      <c r="Q113" s="935">
        <v>0</v>
      </c>
      <c r="R113" s="935">
        <v>0</v>
      </c>
      <c r="S113" s="935">
        <v>0</v>
      </c>
      <c r="T113" s="935">
        <f t="shared" si="19"/>
        <v>0</v>
      </c>
    </row>
    <row r="114" spans="1:20" x14ac:dyDescent="0.2">
      <c r="A114" s="2">
        <v>3100</v>
      </c>
      <c r="B114" s="3" t="s">
        <v>160</v>
      </c>
      <c r="C114" s="935">
        <v>0</v>
      </c>
      <c r="D114" s="935">
        <v>0</v>
      </c>
      <c r="E114" s="935">
        <v>0</v>
      </c>
      <c r="F114" s="935">
        <v>0</v>
      </c>
      <c r="G114" s="935">
        <v>0</v>
      </c>
      <c r="H114" s="935">
        <v>0</v>
      </c>
      <c r="I114" s="935">
        <v>0</v>
      </c>
      <c r="J114" s="935">
        <v>0</v>
      </c>
      <c r="K114" s="935">
        <v>4332759</v>
      </c>
      <c r="L114" s="935">
        <v>0</v>
      </c>
      <c r="M114" s="935">
        <v>0</v>
      </c>
      <c r="N114" s="935">
        <v>0</v>
      </c>
      <c r="O114" s="935">
        <v>0</v>
      </c>
      <c r="P114" s="935">
        <v>0</v>
      </c>
      <c r="Q114" s="935">
        <v>0</v>
      </c>
      <c r="R114" s="935">
        <v>0</v>
      </c>
      <c r="S114" s="935">
        <v>0</v>
      </c>
      <c r="T114" s="935">
        <f t="shared" si="19"/>
        <v>4332759</v>
      </c>
    </row>
    <row r="115" spans="1:20" hidden="1" x14ac:dyDescent="0.2">
      <c r="A115" s="2">
        <v>3200</v>
      </c>
      <c r="B115" s="3" t="s">
        <v>161</v>
      </c>
      <c r="C115" s="935">
        <v>0</v>
      </c>
      <c r="D115" s="935">
        <v>0</v>
      </c>
      <c r="E115" s="935">
        <v>0</v>
      </c>
      <c r="F115" s="935">
        <v>0</v>
      </c>
      <c r="G115" s="935">
        <v>0</v>
      </c>
      <c r="H115" s="935">
        <v>0</v>
      </c>
      <c r="I115" s="935">
        <v>0</v>
      </c>
      <c r="J115" s="935">
        <v>0</v>
      </c>
      <c r="K115" s="935">
        <v>0</v>
      </c>
      <c r="L115" s="935">
        <v>0</v>
      </c>
      <c r="M115" s="935">
        <v>0</v>
      </c>
      <c r="N115" s="935">
        <v>0</v>
      </c>
      <c r="O115" s="935">
        <v>0</v>
      </c>
      <c r="P115" s="935">
        <v>0</v>
      </c>
      <c r="Q115" s="935">
        <v>0</v>
      </c>
      <c r="R115" s="935">
        <v>0</v>
      </c>
      <c r="S115" s="935">
        <v>0</v>
      </c>
      <c r="T115" s="935">
        <f t="shared" si="19"/>
        <v>0</v>
      </c>
    </row>
    <row r="116" spans="1:20" hidden="1" x14ac:dyDescent="0.2">
      <c r="A116" s="2">
        <v>3300</v>
      </c>
      <c r="B116" s="3" t="s">
        <v>162</v>
      </c>
      <c r="C116" s="935">
        <v>0</v>
      </c>
      <c r="D116" s="935">
        <v>0</v>
      </c>
      <c r="E116" s="935">
        <v>0</v>
      </c>
      <c r="F116" s="935">
        <v>0</v>
      </c>
      <c r="G116" s="935">
        <v>0</v>
      </c>
      <c r="H116" s="935">
        <v>0</v>
      </c>
      <c r="I116" s="935">
        <v>0</v>
      </c>
      <c r="J116" s="935">
        <v>0</v>
      </c>
      <c r="K116" s="935">
        <v>0</v>
      </c>
      <c r="L116" s="935">
        <v>0</v>
      </c>
      <c r="M116" s="935">
        <v>0</v>
      </c>
      <c r="N116" s="935">
        <v>0</v>
      </c>
      <c r="O116" s="935">
        <v>0</v>
      </c>
      <c r="P116" s="935">
        <v>0</v>
      </c>
      <c r="Q116" s="935">
        <v>0</v>
      </c>
      <c r="R116" s="935">
        <v>0</v>
      </c>
      <c r="S116" s="935">
        <v>0</v>
      </c>
      <c r="T116" s="935">
        <f t="shared" si="19"/>
        <v>0</v>
      </c>
    </row>
    <row r="117" spans="1:20" hidden="1" x14ac:dyDescent="0.2">
      <c r="A117" s="2">
        <v>4000</v>
      </c>
      <c r="B117" s="3" t="s">
        <v>164</v>
      </c>
      <c r="C117" s="935">
        <v>0</v>
      </c>
      <c r="D117" s="935">
        <v>0</v>
      </c>
      <c r="E117" s="935">
        <v>0</v>
      </c>
      <c r="F117" s="935">
        <v>0</v>
      </c>
      <c r="G117" s="935">
        <v>0</v>
      </c>
      <c r="H117" s="935">
        <v>0</v>
      </c>
      <c r="I117" s="935">
        <v>0</v>
      </c>
      <c r="J117" s="935">
        <v>0</v>
      </c>
      <c r="K117" s="935">
        <v>0</v>
      </c>
      <c r="L117" s="935">
        <v>0</v>
      </c>
      <c r="M117" s="935">
        <v>0</v>
      </c>
      <c r="N117" s="935">
        <v>0</v>
      </c>
      <c r="O117" s="935">
        <v>0</v>
      </c>
      <c r="P117" s="935">
        <v>0</v>
      </c>
      <c r="Q117" s="935">
        <v>0</v>
      </c>
      <c r="R117" s="935">
        <v>0</v>
      </c>
      <c r="S117" s="935">
        <v>0</v>
      </c>
      <c r="T117" s="935">
        <f t="shared" si="19"/>
        <v>0</v>
      </c>
    </row>
    <row r="118" spans="1:20" hidden="1" x14ac:dyDescent="0.2">
      <c r="A118" s="2">
        <v>4100</v>
      </c>
      <c r="B118" s="3" t="s">
        <v>163</v>
      </c>
      <c r="C118" s="935">
        <v>0</v>
      </c>
      <c r="D118" s="935">
        <v>0</v>
      </c>
      <c r="E118" s="935">
        <v>0</v>
      </c>
      <c r="F118" s="935">
        <v>0</v>
      </c>
      <c r="G118" s="935">
        <v>0</v>
      </c>
      <c r="H118" s="935">
        <v>0</v>
      </c>
      <c r="I118" s="935">
        <v>0</v>
      </c>
      <c r="J118" s="935">
        <v>0</v>
      </c>
      <c r="K118" s="935">
        <v>0</v>
      </c>
      <c r="L118" s="935">
        <v>0</v>
      </c>
      <c r="M118" s="935">
        <v>0</v>
      </c>
      <c r="N118" s="935">
        <v>0</v>
      </c>
      <c r="O118" s="935">
        <v>0</v>
      </c>
      <c r="P118" s="935">
        <v>0</v>
      </c>
      <c r="Q118" s="935">
        <v>0</v>
      </c>
      <c r="R118" s="935">
        <v>0</v>
      </c>
      <c r="S118" s="935">
        <v>0</v>
      </c>
      <c r="T118" s="935">
        <f t="shared" si="19"/>
        <v>0</v>
      </c>
    </row>
    <row r="119" spans="1:20" hidden="1" x14ac:dyDescent="0.2">
      <c r="A119" s="2">
        <v>4200</v>
      </c>
      <c r="B119" s="3" t="s">
        <v>165</v>
      </c>
      <c r="C119" s="935">
        <v>0</v>
      </c>
      <c r="D119" s="935">
        <v>0</v>
      </c>
      <c r="E119" s="935">
        <v>0</v>
      </c>
      <c r="F119" s="935">
        <v>0</v>
      </c>
      <c r="G119" s="935">
        <v>0</v>
      </c>
      <c r="H119" s="935">
        <v>0</v>
      </c>
      <c r="I119" s="935">
        <v>0</v>
      </c>
      <c r="J119" s="935">
        <v>0</v>
      </c>
      <c r="K119" s="935">
        <v>0</v>
      </c>
      <c r="L119" s="935">
        <v>0</v>
      </c>
      <c r="M119" s="935">
        <v>0</v>
      </c>
      <c r="N119" s="935">
        <v>0</v>
      </c>
      <c r="O119" s="935">
        <v>0</v>
      </c>
      <c r="P119" s="935">
        <v>0</v>
      </c>
      <c r="Q119" s="935">
        <v>0</v>
      </c>
      <c r="R119" s="935">
        <v>0</v>
      </c>
      <c r="S119" s="935">
        <v>0</v>
      </c>
      <c r="T119" s="935">
        <f t="shared" si="19"/>
        <v>0</v>
      </c>
    </row>
    <row r="120" spans="1:20" x14ac:dyDescent="0.2">
      <c r="A120" s="2">
        <v>4300</v>
      </c>
      <c r="B120" s="3" t="s">
        <v>166</v>
      </c>
      <c r="C120" s="935">
        <v>0</v>
      </c>
      <c r="D120" s="935">
        <v>0</v>
      </c>
      <c r="E120" s="935">
        <v>0</v>
      </c>
      <c r="F120" s="935">
        <v>0</v>
      </c>
      <c r="G120" s="935">
        <v>0</v>
      </c>
      <c r="H120" s="935">
        <v>0</v>
      </c>
      <c r="I120" s="935">
        <v>0</v>
      </c>
      <c r="J120" s="935">
        <v>0</v>
      </c>
      <c r="K120" s="935">
        <v>0</v>
      </c>
      <c r="L120" s="935">
        <v>0</v>
      </c>
      <c r="M120" s="935">
        <v>50000</v>
      </c>
      <c r="N120" s="935">
        <v>0</v>
      </c>
      <c r="O120" s="935">
        <v>0</v>
      </c>
      <c r="P120" s="935">
        <v>0</v>
      </c>
      <c r="Q120" s="935">
        <v>0</v>
      </c>
      <c r="R120" s="935">
        <v>0</v>
      </c>
      <c r="S120" s="935">
        <v>0</v>
      </c>
      <c r="T120" s="935">
        <f t="shared" si="19"/>
        <v>50000</v>
      </c>
    </row>
    <row r="121" spans="1:20" hidden="1" x14ac:dyDescent="0.2">
      <c r="A121" s="2">
        <v>4400</v>
      </c>
      <c r="B121" s="3" t="s">
        <v>167</v>
      </c>
      <c r="C121" s="935">
        <v>0</v>
      </c>
      <c r="D121" s="935">
        <v>0</v>
      </c>
      <c r="E121" s="935">
        <v>0</v>
      </c>
      <c r="F121" s="935">
        <v>0</v>
      </c>
      <c r="G121" s="935">
        <v>0</v>
      </c>
      <c r="H121" s="935">
        <v>0</v>
      </c>
      <c r="I121" s="935">
        <v>0</v>
      </c>
      <c r="J121" s="935">
        <v>0</v>
      </c>
      <c r="K121" s="935">
        <v>0</v>
      </c>
      <c r="L121" s="935">
        <v>0</v>
      </c>
      <c r="M121" s="935">
        <v>0</v>
      </c>
      <c r="N121" s="935">
        <v>0</v>
      </c>
      <c r="O121" s="935">
        <v>0</v>
      </c>
      <c r="P121" s="935">
        <v>0</v>
      </c>
      <c r="Q121" s="935">
        <v>0</v>
      </c>
      <c r="R121" s="935">
        <v>0</v>
      </c>
      <c r="S121" s="935">
        <v>0</v>
      </c>
      <c r="T121" s="935">
        <f t="shared" si="19"/>
        <v>0</v>
      </c>
    </row>
    <row r="122" spans="1:20" hidden="1" x14ac:dyDescent="0.2">
      <c r="A122" s="2">
        <v>4500</v>
      </c>
      <c r="B122" s="3" t="s">
        <v>168</v>
      </c>
      <c r="C122" s="935">
        <v>0</v>
      </c>
      <c r="D122" s="935">
        <v>0</v>
      </c>
      <c r="E122" s="935">
        <v>0</v>
      </c>
      <c r="F122" s="935">
        <v>0</v>
      </c>
      <c r="G122" s="935">
        <v>0</v>
      </c>
      <c r="H122" s="935">
        <v>0</v>
      </c>
      <c r="I122" s="935">
        <v>0</v>
      </c>
      <c r="J122" s="935">
        <v>0</v>
      </c>
      <c r="K122" s="935">
        <v>0</v>
      </c>
      <c r="L122" s="935">
        <v>0</v>
      </c>
      <c r="M122" s="935">
        <v>0</v>
      </c>
      <c r="N122" s="935">
        <v>0</v>
      </c>
      <c r="O122" s="935">
        <v>0</v>
      </c>
      <c r="P122" s="935">
        <v>0</v>
      </c>
      <c r="Q122" s="935">
        <v>0</v>
      </c>
      <c r="R122" s="935">
        <v>0</v>
      </c>
      <c r="S122" s="935">
        <v>0</v>
      </c>
      <c r="T122" s="935">
        <f t="shared" si="19"/>
        <v>0</v>
      </c>
    </row>
    <row r="123" spans="1:20" x14ac:dyDescent="0.2">
      <c r="A123" s="2">
        <v>4600</v>
      </c>
      <c r="B123" s="3" t="s">
        <v>169</v>
      </c>
      <c r="C123" s="935">
        <v>0</v>
      </c>
      <c r="D123" s="935">
        <v>0</v>
      </c>
      <c r="E123" s="935">
        <v>0</v>
      </c>
      <c r="F123" s="935">
        <v>0</v>
      </c>
      <c r="G123" s="935">
        <v>0</v>
      </c>
      <c r="H123" s="935">
        <v>0</v>
      </c>
      <c r="I123" s="935">
        <v>0</v>
      </c>
      <c r="J123" s="935">
        <v>0</v>
      </c>
      <c r="K123" s="935">
        <v>0</v>
      </c>
      <c r="L123" s="935">
        <v>400000</v>
      </c>
      <c r="M123" s="935">
        <v>926314</v>
      </c>
      <c r="N123" s="935">
        <v>0</v>
      </c>
      <c r="O123" s="935">
        <v>68000</v>
      </c>
      <c r="P123" s="935">
        <v>1448039</v>
      </c>
      <c r="Q123" s="935">
        <v>0</v>
      </c>
      <c r="R123" s="935">
        <v>0</v>
      </c>
      <c r="S123" s="935">
        <v>0</v>
      </c>
      <c r="T123" s="935">
        <f t="shared" si="19"/>
        <v>2842353</v>
      </c>
    </row>
    <row r="124" spans="1:20" x14ac:dyDescent="0.2">
      <c r="A124" s="2">
        <v>4700</v>
      </c>
      <c r="B124" s="3" t="s">
        <v>170</v>
      </c>
      <c r="C124" s="935">
        <v>2000000</v>
      </c>
      <c r="D124" s="935">
        <v>0</v>
      </c>
      <c r="E124" s="935">
        <v>0</v>
      </c>
      <c r="F124" s="935">
        <v>0</v>
      </c>
      <c r="G124" s="935">
        <v>0</v>
      </c>
      <c r="H124" s="935">
        <v>0</v>
      </c>
      <c r="I124" s="935">
        <v>0</v>
      </c>
      <c r="J124" s="935">
        <v>15000</v>
      </c>
      <c r="K124" s="935">
        <v>0</v>
      </c>
      <c r="L124" s="935">
        <v>423730</v>
      </c>
      <c r="M124" s="935">
        <v>900000</v>
      </c>
      <c r="N124" s="935">
        <v>100000</v>
      </c>
      <c r="O124" s="935">
        <v>68000</v>
      </c>
      <c r="P124" s="935">
        <v>1429683</v>
      </c>
      <c r="Q124" s="935">
        <v>0</v>
      </c>
      <c r="R124" s="935">
        <v>0</v>
      </c>
      <c r="S124" s="935">
        <v>0</v>
      </c>
      <c r="T124" s="935">
        <f t="shared" si="19"/>
        <v>4936413</v>
      </c>
    </row>
    <row r="125" spans="1:20" hidden="1" x14ac:dyDescent="0.2">
      <c r="A125" s="2">
        <v>4900</v>
      </c>
      <c r="B125" s="3" t="s">
        <v>171</v>
      </c>
      <c r="C125" s="935">
        <v>0</v>
      </c>
      <c r="D125" s="935">
        <v>0</v>
      </c>
      <c r="E125" s="935">
        <v>0</v>
      </c>
      <c r="F125" s="935">
        <v>0</v>
      </c>
      <c r="G125" s="935">
        <v>0</v>
      </c>
      <c r="H125" s="935">
        <v>0</v>
      </c>
      <c r="I125" s="935">
        <v>0</v>
      </c>
      <c r="J125" s="935">
        <v>0</v>
      </c>
      <c r="K125" s="935">
        <v>0</v>
      </c>
      <c r="L125" s="935">
        <v>0</v>
      </c>
      <c r="M125" s="935">
        <v>0</v>
      </c>
      <c r="N125" s="935">
        <v>0</v>
      </c>
      <c r="O125" s="935">
        <v>0</v>
      </c>
      <c r="P125" s="935">
        <v>0</v>
      </c>
      <c r="Q125" s="935">
        <v>0</v>
      </c>
      <c r="R125" s="935">
        <v>0</v>
      </c>
      <c r="S125" s="935">
        <v>0</v>
      </c>
      <c r="T125" s="935">
        <f t="shared" si="19"/>
        <v>0</v>
      </c>
    </row>
    <row r="126" spans="1:20" x14ac:dyDescent="0.2">
      <c r="A126" s="2">
        <v>5000</v>
      </c>
      <c r="B126" s="3" t="s">
        <v>172</v>
      </c>
      <c r="C126" s="935">
        <v>176000</v>
      </c>
      <c r="D126" s="935">
        <v>53861449</v>
      </c>
      <c r="E126" s="935">
        <v>0</v>
      </c>
      <c r="F126" s="935">
        <v>0</v>
      </c>
      <c r="G126" s="935">
        <v>0</v>
      </c>
      <c r="H126" s="935">
        <v>0</v>
      </c>
      <c r="I126" s="935">
        <v>0</v>
      </c>
      <c r="J126" s="935">
        <v>0</v>
      </c>
      <c r="K126" s="935">
        <v>0</v>
      </c>
      <c r="L126" s="935">
        <v>40599</v>
      </c>
      <c r="M126" s="935">
        <v>0</v>
      </c>
      <c r="N126" s="935">
        <v>0</v>
      </c>
      <c r="O126" s="935">
        <v>0</v>
      </c>
      <c r="P126" s="935">
        <v>0</v>
      </c>
      <c r="Q126" s="935">
        <v>0</v>
      </c>
      <c r="R126" s="935">
        <v>0</v>
      </c>
      <c r="S126" s="935">
        <v>0</v>
      </c>
      <c r="T126" s="935">
        <f t="shared" si="19"/>
        <v>54078048</v>
      </c>
    </row>
    <row r="127" spans="1:20" hidden="1" x14ac:dyDescent="0.2">
      <c r="A127" s="2">
        <v>5000</v>
      </c>
      <c r="B127" s="3" t="s">
        <v>173</v>
      </c>
      <c r="C127" s="935">
        <v>0</v>
      </c>
      <c r="D127" s="935">
        <v>0</v>
      </c>
      <c r="E127" s="935">
        <v>0</v>
      </c>
      <c r="F127" s="935">
        <v>0</v>
      </c>
      <c r="G127" s="935">
        <v>0</v>
      </c>
      <c r="H127" s="935">
        <v>0</v>
      </c>
      <c r="I127" s="935">
        <v>0</v>
      </c>
      <c r="J127" s="935">
        <v>0</v>
      </c>
      <c r="K127" s="935">
        <v>0</v>
      </c>
      <c r="L127" s="935">
        <v>0</v>
      </c>
      <c r="M127" s="935">
        <v>0</v>
      </c>
      <c r="N127" s="935">
        <v>0</v>
      </c>
      <c r="O127" s="935">
        <v>0</v>
      </c>
      <c r="P127" s="935">
        <v>0</v>
      </c>
      <c r="Q127" s="935">
        <v>0</v>
      </c>
      <c r="R127" s="935">
        <v>0</v>
      </c>
      <c r="S127" s="935">
        <v>0</v>
      </c>
      <c r="T127" s="935">
        <f t="shared" si="19"/>
        <v>0</v>
      </c>
    </row>
    <row r="128" spans="1:20" hidden="1" x14ac:dyDescent="0.2">
      <c r="A128" s="2">
        <v>6100</v>
      </c>
      <c r="B128" s="3" t="s">
        <v>174</v>
      </c>
      <c r="C128" s="935">
        <v>0</v>
      </c>
      <c r="D128" s="935">
        <v>0</v>
      </c>
      <c r="E128" s="935">
        <v>0</v>
      </c>
      <c r="F128" s="935">
        <v>0</v>
      </c>
      <c r="G128" s="935">
        <v>0</v>
      </c>
      <c r="H128" s="935">
        <v>0</v>
      </c>
      <c r="I128" s="935">
        <v>0</v>
      </c>
      <c r="J128" s="935">
        <v>0</v>
      </c>
      <c r="K128" s="935">
        <v>0</v>
      </c>
      <c r="L128" s="935">
        <v>0</v>
      </c>
      <c r="M128" s="935">
        <v>0</v>
      </c>
      <c r="N128" s="935">
        <v>0</v>
      </c>
      <c r="O128" s="935">
        <v>0</v>
      </c>
      <c r="P128" s="935">
        <v>0</v>
      </c>
      <c r="Q128" s="935">
        <v>0</v>
      </c>
      <c r="R128" s="935">
        <v>0</v>
      </c>
      <c r="S128" s="935">
        <v>0</v>
      </c>
      <c r="T128" s="935">
        <f t="shared" si="19"/>
        <v>0</v>
      </c>
    </row>
    <row r="129" spans="1:23" x14ac:dyDescent="0.2">
      <c r="A129" s="2">
        <v>6200</v>
      </c>
      <c r="B129" s="3" t="s">
        <v>175</v>
      </c>
      <c r="C129" s="935">
        <v>9158251.25</v>
      </c>
      <c r="D129" s="935">
        <v>0</v>
      </c>
      <c r="E129" s="935">
        <v>0</v>
      </c>
      <c r="F129" s="935">
        <v>0</v>
      </c>
      <c r="G129" s="935">
        <v>0</v>
      </c>
      <c r="H129" s="935">
        <v>0</v>
      </c>
      <c r="I129" s="935">
        <v>0</v>
      </c>
      <c r="J129" s="935">
        <v>0</v>
      </c>
      <c r="K129" s="935">
        <v>0</v>
      </c>
      <c r="L129" s="935">
        <v>0</v>
      </c>
      <c r="M129" s="935">
        <v>0</v>
      </c>
      <c r="N129" s="935">
        <v>0</v>
      </c>
      <c r="O129" s="935">
        <v>0</v>
      </c>
      <c r="P129" s="935">
        <v>0</v>
      </c>
      <c r="Q129" s="935">
        <v>0</v>
      </c>
      <c r="R129" s="935">
        <v>0</v>
      </c>
      <c r="S129" s="935">
        <v>0</v>
      </c>
      <c r="T129" s="935">
        <f>SUM(C129:S129)</f>
        <v>9158251.25</v>
      </c>
    </row>
    <row r="130" spans="1:23" hidden="1" x14ac:dyDescent="0.2">
      <c r="A130" s="2">
        <v>6300</v>
      </c>
      <c r="B130" s="3" t="s">
        <v>176</v>
      </c>
      <c r="C130" s="935">
        <v>0</v>
      </c>
      <c r="D130" s="935">
        <v>0</v>
      </c>
      <c r="E130" s="935">
        <v>0</v>
      </c>
      <c r="F130" s="935">
        <v>0</v>
      </c>
      <c r="G130" s="935">
        <v>0</v>
      </c>
      <c r="H130" s="935">
        <v>0</v>
      </c>
      <c r="I130" s="935">
        <v>0</v>
      </c>
      <c r="J130" s="935">
        <v>0</v>
      </c>
      <c r="K130" s="935">
        <v>0</v>
      </c>
      <c r="L130" s="935">
        <v>0</v>
      </c>
      <c r="M130" s="935">
        <v>0</v>
      </c>
      <c r="N130" s="935">
        <v>0</v>
      </c>
      <c r="O130" s="935">
        <v>0</v>
      </c>
      <c r="P130" s="935">
        <v>0</v>
      </c>
      <c r="Q130" s="935">
        <v>0</v>
      </c>
      <c r="R130" s="935">
        <v>0</v>
      </c>
      <c r="S130" s="935">
        <v>0</v>
      </c>
      <c r="T130" s="935">
        <f t="shared" si="19"/>
        <v>0</v>
      </c>
    </row>
    <row r="131" spans="1:23" x14ac:dyDescent="0.2">
      <c r="A131" s="2">
        <v>8000</v>
      </c>
      <c r="B131" s="3" t="s">
        <v>177</v>
      </c>
      <c r="C131" s="935">
        <v>7506182.25</v>
      </c>
      <c r="D131" s="935">
        <v>0</v>
      </c>
      <c r="E131" s="935">
        <v>0</v>
      </c>
      <c r="F131" s="935">
        <v>0</v>
      </c>
      <c r="G131" s="935">
        <v>0</v>
      </c>
      <c r="H131" s="935">
        <v>0</v>
      </c>
      <c r="I131" s="935">
        <v>0</v>
      </c>
      <c r="J131" s="935">
        <v>0</v>
      </c>
      <c r="K131" s="935">
        <v>0</v>
      </c>
      <c r="L131" s="935">
        <v>0</v>
      </c>
      <c r="M131" s="935">
        <v>0</v>
      </c>
      <c r="N131" s="935">
        <v>0</v>
      </c>
      <c r="O131" s="935">
        <v>0</v>
      </c>
      <c r="P131" s="935">
        <v>0</v>
      </c>
      <c r="Q131" s="935">
        <v>0</v>
      </c>
      <c r="R131" s="935">
        <v>0</v>
      </c>
      <c r="S131" s="935">
        <v>0</v>
      </c>
      <c r="T131" s="935">
        <f t="shared" si="19"/>
        <v>7506182.25</v>
      </c>
    </row>
    <row r="132" spans="1:23" x14ac:dyDescent="0.2">
      <c r="C132" s="935"/>
      <c r="D132" s="935"/>
      <c r="E132" s="935"/>
      <c r="F132" s="935"/>
      <c r="G132" s="935"/>
      <c r="H132" s="935"/>
      <c r="I132" s="935"/>
      <c r="J132" s="935"/>
      <c r="K132" s="935"/>
      <c r="L132" s="935"/>
      <c r="M132" s="935"/>
      <c r="N132" s="935"/>
      <c r="O132" s="935"/>
      <c r="P132" s="935"/>
      <c r="Q132" s="935"/>
      <c r="R132" s="935"/>
      <c r="S132" s="935"/>
      <c r="T132" s="935">
        <f t="shared" si="19"/>
        <v>0</v>
      </c>
    </row>
    <row r="133" spans="1:23" s="2" customFormat="1" hidden="1" x14ac:dyDescent="0.2">
      <c r="B133" s="2" t="s">
        <v>448</v>
      </c>
      <c r="C133" s="931">
        <v>0</v>
      </c>
      <c r="D133" s="931">
        <v>0</v>
      </c>
      <c r="E133" s="931">
        <v>0</v>
      </c>
      <c r="F133" s="931">
        <v>0</v>
      </c>
      <c r="G133" s="931">
        <v>0</v>
      </c>
      <c r="H133" s="931">
        <v>0</v>
      </c>
      <c r="I133" s="931">
        <v>0</v>
      </c>
      <c r="J133" s="931">
        <v>0</v>
      </c>
      <c r="K133" s="931">
        <v>0</v>
      </c>
      <c r="L133" s="931">
        <v>0</v>
      </c>
      <c r="M133" s="931">
        <v>0</v>
      </c>
      <c r="N133" s="931">
        <v>0</v>
      </c>
      <c r="O133" s="931">
        <v>0</v>
      </c>
      <c r="P133" s="931">
        <v>0</v>
      </c>
      <c r="Q133" s="931">
        <v>0</v>
      </c>
      <c r="R133" s="931">
        <v>0</v>
      </c>
      <c r="S133" s="931">
        <v>0</v>
      </c>
      <c r="T133" s="931">
        <f t="shared" si="19"/>
        <v>0</v>
      </c>
      <c r="W133" s="53"/>
    </row>
    <row r="134" spans="1:23" s="2" customFormat="1" hidden="1" x14ac:dyDescent="0.2">
      <c r="B134" s="2" t="s">
        <v>453</v>
      </c>
      <c r="C134" s="931">
        <v>0</v>
      </c>
      <c r="D134" s="931">
        <v>0</v>
      </c>
      <c r="E134" s="931">
        <v>0</v>
      </c>
      <c r="F134" s="931">
        <v>0</v>
      </c>
      <c r="G134" s="931">
        <v>0</v>
      </c>
      <c r="H134" s="931">
        <v>0</v>
      </c>
      <c r="I134" s="931">
        <v>0</v>
      </c>
      <c r="J134" s="931">
        <v>0</v>
      </c>
      <c r="K134" s="931">
        <v>0</v>
      </c>
      <c r="L134" s="931">
        <v>0</v>
      </c>
      <c r="M134" s="931">
        <v>0</v>
      </c>
      <c r="N134" s="931">
        <v>0</v>
      </c>
      <c r="O134" s="931">
        <v>0</v>
      </c>
      <c r="P134" s="931">
        <v>0</v>
      </c>
      <c r="Q134" s="931">
        <v>0</v>
      </c>
      <c r="R134" s="931">
        <v>0</v>
      </c>
      <c r="S134" s="931">
        <v>0</v>
      </c>
      <c r="T134" s="931">
        <f t="shared" si="19"/>
        <v>0</v>
      </c>
      <c r="W134" s="53"/>
    </row>
    <row r="135" spans="1:23" hidden="1" x14ac:dyDescent="0.2">
      <c r="C135" s="935"/>
      <c r="D135" s="935"/>
      <c r="E135" s="935"/>
      <c r="F135" s="935"/>
      <c r="G135" s="935"/>
      <c r="H135" s="935"/>
      <c r="I135" s="935"/>
      <c r="J135" s="935"/>
      <c r="K135" s="935"/>
      <c r="L135" s="935"/>
      <c r="M135" s="935"/>
      <c r="N135" s="935"/>
      <c r="O135" s="935"/>
      <c r="P135" s="935"/>
      <c r="Q135" s="935"/>
      <c r="R135" s="935"/>
      <c r="S135" s="935"/>
      <c r="T135" s="935"/>
    </row>
    <row r="136" spans="1:23" s="2" customFormat="1" x14ac:dyDescent="0.2">
      <c r="A136" s="53"/>
      <c r="B136" s="2" t="s">
        <v>308</v>
      </c>
      <c r="C136" s="931"/>
      <c r="D136" s="931"/>
      <c r="E136" s="931"/>
      <c r="F136" s="931"/>
      <c r="G136" s="931"/>
      <c r="H136" s="931"/>
      <c r="I136" s="931"/>
      <c r="J136" s="931"/>
      <c r="K136" s="931"/>
      <c r="L136" s="931"/>
      <c r="M136" s="931"/>
      <c r="N136" s="931"/>
      <c r="O136" s="931"/>
      <c r="P136" s="931"/>
      <c r="Q136" s="931"/>
      <c r="R136" s="931"/>
      <c r="S136" s="931"/>
      <c r="T136" s="931"/>
      <c r="W136" s="53"/>
    </row>
    <row r="137" spans="1:23" hidden="1" x14ac:dyDescent="0.2">
      <c r="B137" s="3" t="s">
        <v>179</v>
      </c>
      <c r="C137" s="935">
        <v>0</v>
      </c>
      <c r="D137" s="935">
        <v>0</v>
      </c>
      <c r="E137" s="935">
        <v>0</v>
      </c>
      <c r="F137" s="935">
        <v>0</v>
      </c>
      <c r="G137" s="935">
        <v>0</v>
      </c>
      <c r="H137" s="935">
        <v>0</v>
      </c>
      <c r="I137" s="935">
        <v>0</v>
      </c>
      <c r="J137" s="935">
        <v>0</v>
      </c>
      <c r="K137" s="935">
        <v>0</v>
      </c>
      <c r="L137" s="935">
        <v>0</v>
      </c>
      <c r="M137" s="935">
        <v>0</v>
      </c>
      <c r="N137" s="935">
        <v>0</v>
      </c>
      <c r="O137" s="935">
        <v>0</v>
      </c>
      <c r="P137" s="935">
        <v>0</v>
      </c>
      <c r="Q137" s="935">
        <v>0</v>
      </c>
      <c r="R137" s="935">
        <v>0</v>
      </c>
      <c r="S137" s="935">
        <v>0</v>
      </c>
      <c r="T137" s="935">
        <f t="shared" ref="T137:T200" si="20">SUM(C137:S137)</f>
        <v>0</v>
      </c>
    </row>
    <row r="138" spans="1:23" x14ac:dyDescent="0.2">
      <c r="B138" s="3" t="s">
        <v>145</v>
      </c>
      <c r="C138" s="935">
        <v>0</v>
      </c>
      <c r="D138" s="935">
        <v>0</v>
      </c>
      <c r="E138" s="935">
        <v>0</v>
      </c>
      <c r="F138" s="935">
        <v>0</v>
      </c>
      <c r="G138" s="935">
        <v>227971</v>
      </c>
      <c r="H138" s="935">
        <v>0</v>
      </c>
      <c r="I138" s="935">
        <v>0</v>
      </c>
      <c r="J138" s="935">
        <v>0</v>
      </c>
      <c r="K138" s="935">
        <v>0</v>
      </c>
      <c r="L138" s="935">
        <v>0</v>
      </c>
      <c r="M138" s="935">
        <v>0</v>
      </c>
      <c r="N138" s="935">
        <v>0</v>
      </c>
      <c r="O138" s="935">
        <v>0</v>
      </c>
      <c r="P138" s="935">
        <v>0</v>
      </c>
      <c r="Q138" s="935">
        <v>0</v>
      </c>
      <c r="R138" s="935">
        <v>0</v>
      </c>
      <c r="S138" s="935">
        <v>0</v>
      </c>
      <c r="T138" s="935">
        <f t="shared" si="20"/>
        <v>227971</v>
      </c>
    </row>
    <row r="139" spans="1:23" hidden="1" x14ac:dyDescent="0.2">
      <c r="B139" s="3" t="s">
        <v>180</v>
      </c>
      <c r="C139" s="935">
        <v>0</v>
      </c>
      <c r="D139" s="935">
        <v>0</v>
      </c>
      <c r="E139" s="935">
        <v>0</v>
      </c>
      <c r="F139" s="935">
        <v>0</v>
      </c>
      <c r="G139" s="935">
        <v>0</v>
      </c>
      <c r="H139" s="935">
        <v>0</v>
      </c>
      <c r="I139" s="935">
        <v>0</v>
      </c>
      <c r="J139" s="935">
        <v>0</v>
      </c>
      <c r="K139" s="935">
        <v>0</v>
      </c>
      <c r="L139" s="935">
        <v>0</v>
      </c>
      <c r="M139" s="935">
        <v>0</v>
      </c>
      <c r="N139" s="935">
        <v>0</v>
      </c>
      <c r="O139" s="935">
        <v>0</v>
      </c>
      <c r="P139" s="935">
        <v>0</v>
      </c>
      <c r="Q139" s="935">
        <v>0</v>
      </c>
      <c r="R139" s="935">
        <v>0</v>
      </c>
      <c r="S139" s="935">
        <v>0</v>
      </c>
      <c r="T139" s="935">
        <f t="shared" si="20"/>
        <v>0</v>
      </c>
    </row>
    <row r="140" spans="1:23" hidden="1" x14ac:dyDescent="0.2">
      <c r="B140" s="3" t="s">
        <v>181</v>
      </c>
      <c r="C140" s="935">
        <v>0</v>
      </c>
      <c r="D140" s="935">
        <v>0</v>
      </c>
      <c r="E140" s="935">
        <v>0</v>
      </c>
      <c r="F140" s="935">
        <v>0</v>
      </c>
      <c r="G140" s="935">
        <v>0</v>
      </c>
      <c r="H140" s="935">
        <v>0</v>
      </c>
      <c r="I140" s="935">
        <v>0</v>
      </c>
      <c r="J140" s="935">
        <v>0</v>
      </c>
      <c r="K140" s="935">
        <v>0</v>
      </c>
      <c r="L140" s="935">
        <v>0</v>
      </c>
      <c r="M140" s="935">
        <v>0</v>
      </c>
      <c r="N140" s="935">
        <v>0</v>
      </c>
      <c r="O140" s="935">
        <v>0</v>
      </c>
      <c r="P140" s="935">
        <v>0</v>
      </c>
      <c r="Q140" s="935">
        <v>0</v>
      </c>
      <c r="R140" s="935">
        <v>0</v>
      </c>
      <c r="S140" s="935">
        <v>0</v>
      </c>
      <c r="T140" s="935">
        <f t="shared" si="20"/>
        <v>0</v>
      </c>
    </row>
    <row r="141" spans="1:23" hidden="1" x14ac:dyDescent="0.2">
      <c r="B141" s="3" t="s">
        <v>182</v>
      </c>
      <c r="C141" s="935">
        <v>0</v>
      </c>
      <c r="D141" s="935">
        <v>0</v>
      </c>
      <c r="E141" s="935">
        <v>0</v>
      </c>
      <c r="F141" s="935">
        <v>0</v>
      </c>
      <c r="G141" s="935">
        <v>0</v>
      </c>
      <c r="H141" s="935">
        <v>0</v>
      </c>
      <c r="I141" s="935">
        <v>0</v>
      </c>
      <c r="J141" s="935">
        <v>0</v>
      </c>
      <c r="K141" s="935">
        <v>0</v>
      </c>
      <c r="L141" s="935">
        <v>0</v>
      </c>
      <c r="M141" s="935">
        <v>0</v>
      </c>
      <c r="N141" s="935">
        <v>0</v>
      </c>
      <c r="O141" s="935">
        <v>0</v>
      </c>
      <c r="P141" s="935">
        <v>0</v>
      </c>
      <c r="Q141" s="935">
        <v>0</v>
      </c>
      <c r="R141" s="935">
        <v>0</v>
      </c>
      <c r="S141" s="935">
        <v>0</v>
      </c>
      <c r="T141" s="935">
        <f t="shared" si="20"/>
        <v>0</v>
      </c>
    </row>
    <row r="142" spans="1:23" hidden="1" x14ac:dyDescent="0.2">
      <c r="B142" s="3" t="s">
        <v>183</v>
      </c>
      <c r="C142" s="935">
        <v>0</v>
      </c>
      <c r="D142" s="935">
        <v>0</v>
      </c>
      <c r="E142" s="935">
        <v>0</v>
      </c>
      <c r="F142" s="935">
        <v>0</v>
      </c>
      <c r="G142" s="935">
        <v>0</v>
      </c>
      <c r="H142" s="935">
        <v>0</v>
      </c>
      <c r="I142" s="935">
        <v>0</v>
      </c>
      <c r="J142" s="935">
        <v>0</v>
      </c>
      <c r="K142" s="935">
        <v>0</v>
      </c>
      <c r="L142" s="935">
        <v>0</v>
      </c>
      <c r="M142" s="935">
        <v>0</v>
      </c>
      <c r="N142" s="935">
        <v>0</v>
      </c>
      <c r="O142" s="935">
        <v>0</v>
      </c>
      <c r="P142" s="935">
        <v>0</v>
      </c>
      <c r="Q142" s="935">
        <v>0</v>
      </c>
      <c r="R142" s="935">
        <v>0</v>
      </c>
      <c r="S142" s="935">
        <v>0</v>
      </c>
      <c r="T142" s="935">
        <f t="shared" si="20"/>
        <v>0</v>
      </c>
    </row>
    <row r="143" spans="1:23" hidden="1" x14ac:dyDescent="0.2">
      <c r="B143" s="3" t="s">
        <v>184</v>
      </c>
      <c r="C143" s="935">
        <v>0</v>
      </c>
      <c r="D143" s="935">
        <v>0</v>
      </c>
      <c r="E143" s="935">
        <v>0</v>
      </c>
      <c r="F143" s="935">
        <v>0</v>
      </c>
      <c r="G143" s="935">
        <v>0</v>
      </c>
      <c r="H143" s="935">
        <v>0</v>
      </c>
      <c r="I143" s="935">
        <v>0</v>
      </c>
      <c r="J143" s="935">
        <v>0</v>
      </c>
      <c r="K143" s="935">
        <v>0</v>
      </c>
      <c r="L143" s="935">
        <v>0</v>
      </c>
      <c r="M143" s="935">
        <v>0</v>
      </c>
      <c r="N143" s="935">
        <v>0</v>
      </c>
      <c r="O143" s="935">
        <v>0</v>
      </c>
      <c r="P143" s="935">
        <v>0</v>
      </c>
      <c r="Q143" s="935">
        <v>0</v>
      </c>
      <c r="R143" s="935">
        <v>0</v>
      </c>
      <c r="S143" s="935">
        <v>0</v>
      </c>
      <c r="T143" s="935">
        <f t="shared" si="20"/>
        <v>0</v>
      </c>
    </row>
    <row r="144" spans="1:23" hidden="1" x14ac:dyDescent="0.2">
      <c r="B144" s="3" t="s">
        <v>185</v>
      </c>
      <c r="C144" s="935">
        <v>0</v>
      </c>
      <c r="D144" s="935">
        <v>0</v>
      </c>
      <c r="E144" s="935">
        <v>0</v>
      </c>
      <c r="F144" s="935">
        <v>0</v>
      </c>
      <c r="G144" s="935">
        <v>0</v>
      </c>
      <c r="H144" s="935">
        <v>0</v>
      </c>
      <c r="I144" s="935">
        <v>0</v>
      </c>
      <c r="J144" s="935">
        <v>0</v>
      </c>
      <c r="K144" s="935">
        <v>0</v>
      </c>
      <c r="L144" s="935">
        <v>0</v>
      </c>
      <c r="M144" s="935">
        <v>0</v>
      </c>
      <c r="N144" s="935">
        <v>0</v>
      </c>
      <c r="O144" s="935">
        <v>0</v>
      </c>
      <c r="P144" s="935">
        <v>0</v>
      </c>
      <c r="Q144" s="935">
        <v>0</v>
      </c>
      <c r="R144" s="935">
        <v>0</v>
      </c>
      <c r="S144" s="935">
        <v>0</v>
      </c>
      <c r="T144" s="935">
        <f t="shared" si="20"/>
        <v>0</v>
      </c>
    </row>
    <row r="145" spans="2:20" hidden="1" x14ac:dyDescent="0.2">
      <c r="B145" s="3" t="s">
        <v>186</v>
      </c>
      <c r="C145" s="935">
        <v>0</v>
      </c>
      <c r="D145" s="935">
        <v>0</v>
      </c>
      <c r="E145" s="935">
        <v>0</v>
      </c>
      <c r="F145" s="935">
        <v>0</v>
      </c>
      <c r="G145" s="935">
        <v>0</v>
      </c>
      <c r="H145" s="935">
        <v>0</v>
      </c>
      <c r="I145" s="935">
        <v>0</v>
      </c>
      <c r="J145" s="935">
        <v>0</v>
      </c>
      <c r="K145" s="935">
        <v>0</v>
      </c>
      <c r="L145" s="935">
        <v>0</v>
      </c>
      <c r="M145" s="935">
        <v>0</v>
      </c>
      <c r="N145" s="935">
        <v>0</v>
      </c>
      <c r="O145" s="935">
        <v>0</v>
      </c>
      <c r="P145" s="935">
        <v>0</v>
      </c>
      <c r="Q145" s="935">
        <v>0</v>
      </c>
      <c r="R145" s="935">
        <v>0</v>
      </c>
      <c r="S145" s="935">
        <v>0</v>
      </c>
      <c r="T145" s="935">
        <f t="shared" si="20"/>
        <v>0</v>
      </c>
    </row>
    <row r="146" spans="2:20" hidden="1" x14ac:dyDescent="0.2">
      <c r="B146" s="3" t="s">
        <v>187</v>
      </c>
      <c r="C146" s="935">
        <v>0</v>
      </c>
      <c r="D146" s="935">
        <v>0</v>
      </c>
      <c r="E146" s="935">
        <v>0</v>
      </c>
      <c r="F146" s="935">
        <v>0</v>
      </c>
      <c r="G146" s="935">
        <v>0</v>
      </c>
      <c r="H146" s="935">
        <v>0</v>
      </c>
      <c r="I146" s="935">
        <v>0</v>
      </c>
      <c r="J146" s="935">
        <v>0</v>
      </c>
      <c r="K146" s="935">
        <v>0</v>
      </c>
      <c r="L146" s="935">
        <v>0</v>
      </c>
      <c r="M146" s="935">
        <v>0</v>
      </c>
      <c r="N146" s="935">
        <v>0</v>
      </c>
      <c r="O146" s="935">
        <v>0</v>
      </c>
      <c r="P146" s="935">
        <v>0</v>
      </c>
      <c r="Q146" s="935">
        <v>0</v>
      </c>
      <c r="R146" s="935">
        <v>0</v>
      </c>
      <c r="S146" s="935">
        <v>0</v>
      </c>
      <c r="T146" s="935">
        <f t="shared" si="20"/>
        <v>0</v>
      </c>
    </row>
    <row r="147" spans="2:20" hidden="1" x14ac:dyDescent="0.2">
      <c r="B147" s="3" t="s">
        <v>188</v>
      </c>
      <c r="C147" s="935">
        <v>0</v>
      </c>
      <c r="D147" s="935">
        <v>0</v>
      </c>
      <c r="E147" s="935">
        <v>0</v>
      </c>
      <c r="F147" s="935">
        <v>0</v>
      </c>
      <c r="G147" s="935">
        <v>0</v>
      </c>
      <c r="H147" s="935">
        <v>0</v>
      </c>
      <c r="I147" s="935">
        <v>0</v>
      </c>
      <c r="J147" s="935">
        <v>0</v>
      </c>
      <c r="K147" s="935">
        <v>0</v>
      </c>
      <c r="L147" s="935">
        <v>0</v>
      </c>
      <c r="M147" s="935">
        <v>0</v>
      </c>
      <c r="N147" s="935">
        <v>0</v>
      </c>
      <c r="O147" s="935">
        <v>0</v>
      </c>
      <c r="P147" s="935">
        <v>0</v>
      </c>
      <c r="Q147" s="935">
        <v>0</v>
      </c>
      <c r="R147" s="935">
        <v>0</v>
      </c>
      <c r="S147" s="935">
        <v>0</v>
      </c>
      <c r="T147" s="935">
        <f t="shared" si="20"/>
        <v>0</v>
      </c>
    </row>
    <row r="148" spans="2:20" hidden="1" x14ac:dyDescent="0.2">
      <c r="B148" s="3" t="s">
        <v>189</v>
      </c>
      <c r="C148" s="935">
        <v>0</v>
      </c>
      <c r="D148" s="935">
        <v>0</v>
      </c>
      <c r="E148" s="935">
        <v>0</v>
      </c>
      <c r="F148" s="935">
        <v>0</v>
      </c>
      <c r="G148" s="935">
        <v>0</v>
      </c>
      <c r="H148" s="935">
        <v>0</v>
      </c>
      <c r="I148" s="935">
        <v>0</v>
      </c>
      <c r="J148" s="935">
        <v>0</v>
      </c>
      <c r="K148" s="935">
        <v>0</v>
      </c>
      <c r="L148" s="935">
        <v>0</v>
      </c>
      <c r="M148" s="935">
        <v>0</v>
      </c>
      <c r="N148" s="935">
        <v>0</v>
      </c>
      <c r="O148" s="935">
        <v>0</v>
      </c>
      <c r="P148" s="935">
        <v>0</v>
      </c>
      <c r="Q148" s="935">
        <v>0</v>
      </c>
      <c r="R148" s="935">
        <v>0</v>
      </c>
      <c r="S148" s="935">
        <v>0</v>
      </c>
      <c r="T148" s="935">
        <f t="shared" si="20"/>
        <v>0</v>
      </c>
    </row>
    <row r="149" spans="2:20" hidden="1" x14ac:dyDescent="0.2">
      <c r="B149" s="3" t="s">
        <v>190</v>
      </c>
      <c r="C149" s="935">
        <v>0</v>
      </c>
      <c r="D149" s="935">
        <v>0</v>
      </c>
      <c r="E149" s="935">
        <v>0</v>
      </c>
      <c r="F149" s="935">
        <v>0</v>
      </c>
      <c r="G149" s="935">
        <v>0</v>
      </c>
      <c r="H149" s="935">
        <v>0</v>
      </c>
      <c r="I149" s="935">
        <v>0</v>
      </c>
      <c r="J149" s="935">
        <v>0</v>
      </c>
      <c r="K149" s="935">
        <v>0</v>
      </c>
      <c r="L149" s="935">
        <v>0</v>
      </c>
      <c r="M149" s="935">
        <v>0</v>
      </c>
      <c r="N149" s="935">
        <v>0</v>
      </c>
      <c r="O149" s="935">
        <v>0</v>
      </c>
      <c r="P149" s="935">
        <v>0</v>
      </c>
      <c r="Q149" s="935">
        <v>0</v>
      </c>
      <c r="R149" s="935">
        <v>0</v>
      </c>
      <c r="S149" s="935">
        <v>0</v>
      </c>
      <c r="T149" s="935">
        <f t="shared" si="20"/>
        <v>0</v>
      </c>
    </row>
    <row r="150" spans="2:20" hidden="1" x14ac:dyDescent="0.2">
      <c r="B150" s="3" t="s">
        <v>191</v>
      </c>
      <c r="C150" s="935">
        <v>0</v>
      </c>
      <c r="D150" s="935">
        <v>0</v>
      </c>
      <c r="E150" s="935">
        <v>0</v>
      </c>
      <c r="F150" s="935">
        <v>0</v>
      </c>
      <c r="G150" s="935">
        <v>0</v>
      </c>
      <c r="H150" s="935">
        <v>0</v>
      </c>
      <c r="I150" s="935">
        <v>0</v>
      </c>
      <c r="J150" s="935">
        <v>0</v>
      </c>
      <c r="K150" s="935">
        <v>0</v>
      </c>
      <c r="L150" s="935">
        <v>0</v>
      </c>
      <c r="M150" s="935">
        <v>0</v>
      </c>
      <c r="N150" s="935">
        <v>0</v>
      </c>
      <c r="O150" s="935">
        <v>0</v>
      </c>
      <c r="P150" s="935">
        <v>0</v>
      </c>
      <c r="Q150" s="935">
        <v>0</v>
      </c>
      <c r="R150" s="935">
        <v>0</v>
      </c>
      <c r="S150" s="935">
        <v>0</v>
      </c>
      <c r="T150" s="935">
        <f t="shared" si="20"/>
        <v>0</v>
      </c>
    </row>
    <row r="151" spans="2:20" hidden="1" x14ac:dyDescent="0.2">
      <c r="B151" s="3" t="s">
        <v>192</v>
      </c>
      <c r="C151" s="935">
        <v>0</v>
      </c>
      <c r="D151" s="935">
        <v>0</v>
      </c>
      <c r="E151" s="935">
        <v>0</v>
      </c>
      <c r="F151" s="935">
        <v>0</v>
      </c>
      <c r="G151" s="935">
        <v>0</v>
      </c>
      <c r="H151" s="935">
        <v>0</v>
      </c>
      <c r="I151" s="935">
        <v>0</v>
      </c>
      <c r="J151" s="935">
        <v>0</v>
      </c>
      <c r="K151" s="935">
        <v>0</v>
      </c>
      <c r="L151" s="935">
        <v>0</v>
      </c>
      <c r="M151" s="935">
        <v>0</v>
      </c>
      <c r="N151" s="935">
        <v>0</v>
      </c>
      <c r="O151" s="935">
        <v>0</v>
      </c>
      <c r="P151" s="935">
        <v>0</v>
      </c>
      <c r="Q151" s="935">
        <v>0</v>
      </c>
      <c r="R151" s="935">
        <v>0</v>
      </c>
      <c r="S151" s="935">
        <v>0</v>
      </c>
      <c r="T151" s="935">
        <f t="shared" si="20"/>
        <v>0</v>
      </c>
    </row>
    <row r="152" spans="2:20" hidden="1" x14ac:dyDescent="0.2">
      <c r="B152" s="3" t="s">
        <v>193</v>
      </c>
      <c r="C152" s="935">
        <v>0</v>
      </c>
      <c r="D152" s="935">
        <v>0</v>
      </c>
      <c r="E152" s="935">
        <v>0</v>
      </c>
      <c r="F152" s="935">
        <v>0</v>
      </c>
      <c r="G152" s="935">
        <v>0</v>
      </c>
      <c r="H152" s="935">
        <v>0</v>
      </c>
      <c r="I152" s="935">
        <v>0</v>
      </c>
      <c r="J152" s="935">
        <v>0</v>
      </c>
      <c r="K152" s="935">
        <v>0</v>
      </c>
      <c r="L152" s="935">
        <v>0</v>
      </c>
      <c r="M152" s="935">
        <v>0</v>
      </c>
      <c r="N152" s="935">
        <v>0</v>
      </c>
      <c r="O152" s="935">
        <v>0</v>
      </c>
      <c r="P152" s="935">
        <v>0</v>
      </c>
      <c r="Q152" s="935">
        <v>0</v>
      </c>
      <c r="R152" s="935">
        <v>0</v>
      </c>
      <c r="S152" s="935">
        <v>0</v>
      </c>
      <c r="T152" s="935">
        <f t="shared" si="20"/>
        <v>0</v>
      </c>
    </row>
    <row r="153" spans="2:20" hidden="1" x14ac:dyDescent="0.2">
      <c r="B153" s="3" t="s">
        <v>194</v>
      </c>
      <c r="C153" s="935">
        <v>0</v>
      </c>
      <c r="D153" s="935">
        <v>0</v>
      </c>
      <c r="E153" s="935">
        <v>0</v>
      </c>
      <c r="F153" s="935">
        <v>0</v>
      </c>
      <c r="G153" s="935">
        <v>0</v>
      </c>
      <c r="H153" s="935">
        <v>0</v>
      </c>
      <c r="I153" s="935">
        <v>0</v>
      </c>
      <c r="J153" s="935">
        <v>0</v>
      </c>
      <c r="K153" s="935">
        <v>0</v>
      </c>
      <c r="L153" s="935">
        <v>0</v>
      </c>
      <c r="M153" s="935">
        <v>0</v>
      </c>
      <c r="N153" s="935">
        <v>0</v>
      </c>
      <c r="O153" s="935">
        <v>0</v>
      </c>
      <c r="P153" s="935">
        <v>0</v>
      </c>
      <c r="Q153" s="935">
        <v>0</v>
      </c>
      <c r="R153" s="935">
        <v>0</v>
      </c>
      <c r="S153" s="935">
        <v>0</v>
      </c>
      <c r="T153" s="935">
        <f t="shared" si="20"/>
        <v>0</v>
      </c>
    </row>
    <row r="154" spans="2:20" hidden="1" x14ac:dyDescent="0.2">
      <c r="B154" s="3" t="s">
        <v>195</v>
      </c>
      <c r="C154" s="935">
        <v>0</v>
      </c>
      <c r="D154" s="935">
        <v>0</v>
      </c>
      <c r="E154" s="935">
        <v>0</v>
      </c>
      <c r="F154" s="935">
        <v>0</v>
      </c>
      <c r="G154" s="935">
        <v>0</v>
      </c>
      <c r="H154" s="935">
        <v>0</v>
      </c>
      <c r="I154" s="935">
        <v>0</v>
      </c>
      <c r="J154" s="935">
        <v>0</v>
      </c>
      <c r="K154" s="935">
        <v>0</v>
      </c>
      <c r="L154" s="935">
        <v>0</v>
      </c>
      <c r="M154" s="935">
        <v>0</v>
      </c>
      <c r="N154" s="935">
        <v>0</v>
      </c>
      <c r="O154" s="935">
        <v>0</v>
      </c>
      <c r="P154" s="935">
        <v>0</v>
      </c>
      <c r="Q154" s="935">
        <v>0</v>
      </c>
      <c r="R154" s="935">
        <v>0</v>
      </c>
      <c r="S154" s="935">
        <v>0</v>
      </c>
      <c r="T154" s="935">
        <f t="shared" si="20"/>
        <v>0</v>
      </c>
    </row>
    <row r="155" spans="2:20" hidden="1" x14ac:dyDescent="0.2">
      <c r="B155" s="3" t="s">
        <v>196</v>
      </c>
      <c r="C155" s="935">
        <v>0</v>
      </c>
      <c r="D155" s="935">
        <v>0</v>
      </c>
      <c r="E155" s="935">
        <v>0</v>
      </c>
      <c r="F155" s="935">
        <v>0</v>
      </c>
      <c r="G155" s="935">
        <v>0</v>
      </c>
      <c r="H155" s="935">
        <v>0</v>
      </c>
      <c r="I155" s="935">
        <v>0</v>
      </c>
      <c r="J155" s="935">
        <v>0</v>
      </c>
      <c r="K155" s="935">
        <v>0</v>
      </c>
      <c r="L155" s="935">
        <v>0</v>
      </c>
      <c r="M155" s="935">
        <v>0</v>
      </c>
      <c r="N155" s="935">
        <v>0</v>
      </c>
      <c r="O155" s="935">
        <v>0</v>
      </c>
      <c r="P155" s="935">
        <v>0</v>
      </c>
      <c r="Q155" s="935">
        <v>0</v>
      </c>
      <c r="R155" s="935">
        <v>0</v>
      </c>
      <c r="S155" s="935">
        <v>0</v>
      </c>
      <c r="T155" s="935">
        <f t="shared" si="20"/>
        <v>0</v>
      </c>
    </row>
    <row r="156" spans="2:20" hidden="1" x14ac:dyDescent="0.2">
      <c r="B156" s="3" t="s">
        <v>197</v>
      </c>
      <c r="C156" s="935">
        <v>0</v>
      </c>
      <c r="D156" s="935">
        <v>0</v>
      </c>
      <c r="E156" s="935">
        <v>0</v>
      </c>
      <c r="F156" s="935">
        <v>0</v>
      </c>
      <c r="G156" s="935">
        <v>0</v>
      </c>
      <c r="H156" s="935">
        <v>0</v>
      </c>
      <c r="I156" s="935">
        <v>0</v>
      </c>
      <c r="J156" s="935">
        <v>0</v>
      </c>
      <c r="K156" s="935">
        <v>0</v>
      </c>
      <c r="L156" s="935">
        <v>0</v>
      </c>
      <c r="M156" s="935">
        <v>0</v>
      </c>
      <c r="N156" s="935">
        <v>0</v>
      </c>
      <c r="O156" s="935">
        <v>0</v>
      </c>
      <c r="P156" s="935">
        <v>0</v>
      </c>
      <c r="Q156" s="935">
        <v>0</v>
      </c>
      <c r="R156" s="935">
        <v>0</v>
      </c>
      <c r="S156" s="935">
        <v>0</v>
      </c>
      <c r="T156" s="935">
        <f t="shared" si="20"/>
        <v>0</v>
      </c>
    </row>
    <row r="157" spans="2:20" hidden="1" x14ac:dyDescent="0.2">
      <c r="B157" s="3" t="s">
        <v>198</v>
      </c>
      <c r="C157" s="935">
        <v>0</v>
      </c>
      <c r="D157" s="935">
        <v>0</v>
      </c>
      <c r="E157" s="935">
        <v>0</v>
      </c>
      <c r="F157" s="935">
        <v>0</v>
      </c>
      <c r="G157" s="935">
        <v>0</v>
      </c>
      <c r="H157" s="935">
        <v>0</v>
      </c>
      <c r="I157" s="935">
        <v>0</v>
      </c>
      <c r="J157" s="935">
        <v>0</v>
      </c>
      <c r="K157" s="935">
        <v>0</v>
      </c>
      <c r="L157" s="935">
        <v>0</v>
      </c>
      <c r="M157" s="935">
        <v>0</v>
      </c>
      <c r="N157" s="935">
        <v>0</v>
      </c>
      <c r="O157" s="935">
        <v>0</v>
      </c>
      <c r="P157" s="935">
        <v>0</v>
      </c>
      <c r="Q157" s="935">
        <v>0</v>
      </c>
      <c r="R157" s="935">
        <v>0</v>
      </c>
      <c r="S157" s="935">
        <v>0</v>
      </c>
      <c r="T157" s="935">
        <f t="shared" si="20"/>
        <v>0</v>
      </c>
    </row>
    <row r="158" spans="2:20" hidden="1" x14ac:dyDescent="0.2">
      <c r="B158" s="3" t="s">
        <v>199</v>
      </c>
      <c r="C158" s="935">
        <v>0</v>
      </c>
      <c r="D158" s="935">
        <v>0</v>
      </c>
      <c r="E158" s="935">
        <v>0</v>
      </c>
      <c r="F158" s="935">
        <v>0</v>
      </c>
      <c r="G158" s="935">
        <v>0</v>
      </c>
      <c r="H158" s="935">
        <v>0</v>
      </c>
      <c r="I158" s="935">
        <v>0</v>
      </c>
      <c r="J158" s="935">
        <v>0</v>
      </c>
      <c r="K158" s="935">
        <v>0</v>
      </c>
      <c r="L158" s="935">
        <v>0</v>
      </c>
      <c r="M158" s="935">
        <v>0</v>
      </c>
      <c r="N158" s="935">
        <v>0</v>
      </c>
      <c r="O158" s="935">
        <v>0</v>
      </c>
      <c r="P158" s="935">
        <v>0</v>
      </c>
      <c r="Q158" s="935">
        <v>0</v>
      </c>
      <c r="R158" s="935">
        <v>0</v>
      </c>
      <c r="S158" s="935">
        <v>0</v>
      </c>
      <c r="T158" s="935">
        <f t="shared" si="20"/>
        <v>0</v>
      </c>
    </row>
    <row r="159" spans="2:20" hidden="1" x14ac:dyDescent="0.2">
      <c r="B159" s="3" t="s">
        <v>200</v>
      </c>
      <c r="C159" s="935">
        <v>0</v>
      </c>
      <c r="D159" s="935">
        <v>0</v>
      </c>
      <c r="E159" s="935">
        <v>0</v>
      </c>
      <c r="F159" s="935">
        <v>0</v>
      </c>
      <c r="G159" s="935">
        <v>0</v>
      </c>
      <c r="H159" s="935">
        <v>0</v>
      </c>
      <c r="I159" s="935">
        <v>0</v>
      </c>
      <c r="J159" s="935">
        <v>0</v>
      </c>
      <c r="K159" s="935">
        <v>0</v>
      </c>
      <c r="L159" s="935">
        <v>0</v>
      </c>
      <c r="M159" s="935">
        <v>0</v>
      </c>
      <c r="N159" s="935">
        <v>0</v>
      </c>
      <c r="O159" s="935">
        <v>0</v>
      </c>
      <c r="P159" s="935">
        <v>0</v>
      </c>
      <c r="Q159" s="935">
        <v>0</v>
      </c>
      <c r="R159" s="935">
        <v>0</v>
      </c>
      <c r="S159" s="935">
        <v>0</v>
      </c>
      <c r="T159" s="935">
        <f t="shared" si="20"/>
        <v>0</v>
      </c>
    </row>
    <row r="160" spans="2:20" hidden="1" x14ac:dyDescent="0.2">
      <c r="B160" s="3" t="s">
        <v>201</v>
      </c>
      <c r="C160" s="935">
        <v>0</v>
      </c>
      <c r="D160" s="935">
        <v>0</v>
      </c>
      <c r="E160" s="935">
        <v>0</v>
      </c>
      <c r="F160" s="935">
        <v>0</v>
      </c>
      <c r="G160" s="935">
        <v>0</v>
      </c>
      <c r="H160" s="935">
        <v>0</v>
      </c>
      <c r="I160" s="935">
        <v>0</v>
      </c>
      <c r="J160" s="935">
        <v>0</v>
      </c>
      <c r="K160" s="935">
        <v>0</v>
      </c>
      <c r="L160" s="935">
        <v>0</v>
      </c>
      <c r="M160" s="935">
        <v>0</v>
      </c>
      <c r="N160" s="935">
        <v>0</v>
      </c>
      <c r="O160" s="935">
        <v>0</v>
      </c>
      <c r="P160" s="935">
        <v>0</v>
      </c>
      <c r="Q160" s="935">
        <v>0</v>
      </c>
      <c r="R160" s="935">
        <v>0</v>
      </c>
      <c r="S160" s="935">
        <v>0</v>
      </c>
      <c r="T160" s="935">
        <f t="shared" si="20"/>
        <v>0</v>
      </c>
    </row>
    <row r="161" spans="2:20" hidden="1" x14ac:dyDescent="0.2">
      <c r="B161" s="3" t="s">
        <v>202</v>
      </c>
      <c r="C161" s="935">
        <v>0</v>
      </c>
      <c r="D161" s="935">
        <v>0</v>
      </c>
      <c r="E161" s="935">
        <v>0</v>
      </c>
      <c r="F161" s="935">
        <v>0</v>
      </c>
      <c r="G161" s="935">
        <v>0</v>
      </c>
      <c r="H161" s="935">
        <v>0</v>
      </c>
      <c r="I161" s="935">
        <v>0</v>
      </c>
      <c r="J161" s="935">
        <v>0</v>
      </c>
      <c r="K161" s="935">
        <v>0</v>
      </c>
      <c r="L161" s="935">
        <v>0</v>
      </c>
      <c r="M161" s="935">
        <v>0</v>
      </c>
      <c r="N161" s="935">
        <v>0</v>
      </c>
      <c r="O161" s="935">
        <v>0</v>
      </c>
      <c r="P161" s="935">
        <v>0</v>
      </c>
      <c r="Q161" s="935">
        <v>0</v>
      </c>
      <c r="R161" s="935">
        <v>0</v>
      </c>
      <c r="S161" s="935">
        <v>0</v>
      </c>
      <c r="T161" s="935">
        <f t="shared" si="20"/>
        <v>0</v>
      </c>
    </row>
    <row r="162" spans="2:20" hidden="1" x14ac:dyDescent="0.2">
      <c r="B162" s="3" t="s">
        <v>203</v>
      </c>
      <c r="C162" s="935">
        <v>0</v>
      </c>
      <c r="D162" s="935">
        <v>0</v>
      </c>
      <c r="E162" s="935">
        <v>0</v>
      </c>
      <c r="F162" s="935">
        <v>0</v>
      </c>
      <c r="G162" s="935">
        <v>0</v>
      </c>
      <c r="H162" s="935">
        <v>0</v>
      </c>
      <c r="I162" s="935">
        <v>0</v>
      </c>
      <c r="J162" s="935">
        <v>0</v>
      </c>
      <c r="K162" s="935">
        <v>0</v>
      </c>
      <c r="L162" s="935">
        <v>0</v>
      </c>
      <c r="M162" s="935">
        <v>0</v>
      </c>
      <c r="N162" s="935">
        <v>0</v>
      </c>
      <c r="O162" s="935">
        <v>0</v>
      </c>
      <c r="P162" s="935">
        <v>0</v>
      </c>
      <c r="Q162" s="935">
        <v>0</v>
      </c>
      <c r="R162" s="935">
        <v>0</v>
      </c>
      <c r="S162" s="935">
        <v>0</v>
      </c>
      <c r="T162" s="935">
        <f t="shared" si="20"/>
        <v>0</v>
      </c>
    </row>
    <row r="163" spans="2:20" x14ac:dyDescent="0.2">
      <c r="B163" s="3" t="s">
        <v>204</v>
      </c>
      <c r="C163" s="935">
        <v>0</v>
      </c>
      <c r="D163" s="935">
        <v>0</v>
      </c>
      <c r="E163" s="935">
        <v>0</v>
      </c>
      <c r="F163" s="935">
        <v>0</v>
      </c>
      <c r="G163" s="935">
        <v>0</v>
      </c>
      <c r="H163" s="935">
        <v>0</v>
      </c>
      <c r="I163" s="935">
        <v>0</v>
      </c>
      <c r="J163" s="935">
        <v>6097947</v>
      </c>
      <c r="K163" s="935">
        <v>0</v>
      </c>
      <c r="L163" s="935">
        <v>0</v>
      </c>
      <c r="M163" s="935">
        <v>0</v>
      </c>
      <c r="N163" s="935">
        <v>0</v>
      </c>
      <c r="O163" s="935">
        <v>0</v>
      </c>
      <c r="P163" s="935">
        <v>0</v>
      </c>
      <c r="Q163" s="935">
        <v>0</v>
      </c>
      <c r="R163" s="935">
        <v>0</v>
      </c>
      <c r="S163" s="935">
        <v>0</v>
      </c>
      <c r="T163" s="935">
        <f t="shared" si="20"/>
        <v>6097947</v>
      </c>
    </row>
    <row r="164" spans="2:20" hidden="1" x14ac:dyDescent="0.2">
      <c r="B164" s="3" t="s">
        <v>205</v>
      </c>
      <c r="C164" s="935">
        <v>0</v>
      </c>
      <c r="D164" s="935">
        <v>0</v>
      </c>
      <c r="E164" s="935">
        <v>0</v>
      </c>
      <c r="F164" s="935">
        <v>0</v>
      </c>
      <c r="G164" s="935">
        <v>0</v>
      </c>
      <c r="H164" s="935">
        <v>0</v>
      </c>
      <c r="I164" s="935">
        <v>0</v>
      </c>
      <c r="J164" s="935">
        <v>0</v>
      </c>
      <c r="K164" s="935">
        <v>0</v>
      </c>
      <c r="L164" s="935">
        <v>0</v>
      </c>
      <c r="M164" s="935">
        <v>0</v>
      </c>
      <c r="N164" s="935">
        <v>0</v>
      </c>
      <c r="O164" s="935">
        <v>0</v>
      </c>
      <c r="P164" s="935">
        <v>0</v>
      </c>
      <c r="Q164" s="935">
        <v>0</v>
      </c>
      <c r="R164" s="935">
        <v>0</v>
      </c>
      <c r="S164" s="935">
        <v>0</v>
      </c>
      <c r="T164" s="935">
        <f t="shared" si="20"/>
        <v>0</v>
      </c>
    </row>
    <row r="165" spans="2:20" hidden="1" x14ac:dyDescent="0.2">
      <c r="B165" s="3" t="s">
        <v>206</v>
      </c>
      <c r="C165" s="935">
        <v>0</v>
      </c>
      <c r="D165" s="935">
        <v>0</v>
      </c>
      <c r="E165" s="935">
        <v>0</v>
      </c>
      <c r="F165" s="935">
        <v>0</v>
      </c>
      <c r="G165" s="935">
        <v>0</v>
      </c>
      <c r="H165" s="935">
        <v>0</v>
      </c>
      <c r="I165" s="935">
        <v>0</v>
      </c>
      <c r="J165" s="935">
        <v>0</v>
      </c>
      <c r="K165" s="935">
        <v>0</v>
      </c>
      <c r="L165" s="935">
        <v>0</v>
      </c>
      <c r="M165" s="935">
        <v>0</v>
      </c>
      <c r="N165" s="935">
        <v>0</v>
      </c>
      <c r="O165" s="935">
        <v>0</v>
      </c>
      <c r="P165" s="935">
        <v>0</v>
      </c>
      <c r="Q165" s="935">
        <v>0</v>
      </c>
      <c r="R165" s="935">
        <v>0</v>
      </c>
      <c r="S165" s="935">
        <v>0</v>
      </c>
      <c r="T165" s="935">
        <f t="shared" si="20"/>
        <v>0</v>
      </c>
    </row>
    <row r="166" spans="2:20" hidden="1" x14ac:dyDescent="0.2">
      <c r="B166" s="3" t="s">
        <v>207</v>
      </c>
      <c r="C166" s="935">
        <v>0</v>
      </c>
      <c r="D166" s="935">
        <v>0</v>
      </c>
      <c r="E166" s="935">
        <v>0</v>
      </c>
      <c r="F166" s="935">
        <v>0</v>
      </c>
      <c r="G166" s="935">
        <v>0</v>
      </c>
      <c r="H166" s="935">
        <v>0</v>
      </c>
      <c r="I166" s="935">
        <v>0</v>
      </c>
      <c r="J166" s="935">
        <v>0</v>
      </c>
      <c r="K166" s="935">
        <v>0</v>
      </c>
      <c r="L166" s="935">
        <v>0</v>
      </c>
      <c r="M166" s="935">
        <v>0</v>
      </c>
      <c r="N166" s="935">
        <v>0</v>
      </c>
      <c r="O166" s="935">
        <v>0</v>
      </c>
      <c r="P166" s="935">
        <v>0</v>
      </c>
      <c r="Q166" s="935">
        <v>0</v>
      </c>
      <c r="R166" s="935">
        <v>0</v>
      </c>
      <c r="S166" s="935">
        <v>0</v>
      </c>
      <c r="T166" s="935">
        <f t="shared" si="20"/>
        <v>0</v>
      </c>
    </row>
    <row r="167" spans="2:20" hidden="1" x14ac:dyDescent="0.2">
      <c r="B167" s="3" t="s">
        <v>208</v>
      </c>
      <c r="C167" s="935">
        <v>0</v>
      </c>
      <c r="D167" s="935">
        <v>0</v>
      </c>
      <c r="E167" s="935">
        <v>0</v>
      </c>
      <c r="F167" s="935">
        <v>0</v>
      </c>
      <c r="G167" s="935">
        <v>0</v>
      </c>
      <c r="H167" s="935">
        <v>0</v>
      </c>
      <c r="I167" s="935">
        <v>0</v>
      </c>
      <c r="J167" s="935">
        <v>0</v>
      </c>
      <c r="K167" s="935">
        <v>0</v>
      </c>
      <c r="L167" s="935">
        <v>0</v>
      </c>
      <c r="M167" s="935">
        <v>0</v>
      </c>
      <c r="N167" s="935">
        <v>0</v>
      </c>
      <c r="O167" s="935">
        <v>0</v>
      </c>
      <c r="P167" s="935">
        <v>0</v>
      </c>
      <c r="Q167" s="935">
        <v>0</v>
      </c>
      <c r="R167" s="935">
        <v>0</v>
      </c>
      <c r="S167" s="935">
        <v>0</v>
      </c>
      <c r="T167" s="935">
        <f t="shared" si="20"/>
        <v>0</v>
      </c>
    </row>
    <row r="168" spans="2:20" hidden="1" x14ac:dyDescent="0.2">
      <c r="B168" s="3" t="s">
        <v>209</v>
      </c>
      <c r="C168" s="935">
        <v>0</v>
      </c>
      <c r="D168" s="935">
        <v>0</v>
      </c>
      <c r="E168" s="935">
        <v>0</v>
      </c>
      <c r="F168" s="935">
        <v>0</v>
      </c>
      <c r="G168" s="935">
        <v>0</v>
      </c>
      <c r="H168" s="935">
        <v>0</v>
      </c>
      <c r="I168" s="935">
        <v>0</v>
      </c>
      <c r="J168" s="935">
        <v>0</v>
      </c>
      <c r="K168" s="935">
        <v>0</v>
      </c>
      <c r="L168" s="935">
        <v>0</v>
      </c>
      <c r="M168" s="935">
        <v>0</v>
      </c>
      <c r="N168" s="935">
        <v>0</v>
      </c>
      <c r="O168" s="935">
        <v>0</v>
      </c>
      <c r="P168" s="935">
        <v>0</v>
      </c>
      <c r="Q168" s="935">
        <v>0</v>
      </c>
      <c r="R168" s="935">
        <v>0</v>
      </c>
      <c r="S168" s="935">
        <v>0</v>
      </c>
      <c r="T168" s="935">
        <f t="shared" si="20"/>
        <v>0</v>
      </c>
    </row>
    <row r="169" spans="2:20" hidden="1" x14ac:dyDescent="0.2">
      <c r="B169" s="3" t="s">
        <v>210</v>
      </c>
      <c r="C169" s="935">
        <v>0</v>
      </c>
      <c r="D169" s="935">
        <v>0</v>
      </c>
      <c r="E169" s="935">
        <v>0</v>
      </c>
      <c r="F169" s="935">
        <v>0</v>
      </c>
      <c r="G169" s="935">
        <v>0</v>
      </c>
      <c r="H169" s="935">
        <v>0</v>
      </c>
      <c r="I169" s="935">
        <v>0</v>
      </c>
      <c r="J169" s="935">
        <v>0</v>
      </c>
      <c r="K169" s="935">
        <v>0</v>
      </c>
      <c r="L169" s="935">
        <v>0</v>
      </c>
      <c r="M169" s="935">
        <v>0</v>
      </c>
      <c r="N169" s="935">
        <v>0</v>
      </c>
      <c r="O169" s="935">
        <v>0</v>
      </c>
      <c r="P169" s="935">
        <v>0</v>
      </c>
      <c r="Q169" s="935">
        <v>0</v>
      </c>
      <c r="R169" s="935">
        <v>0</v>
      </c>
      <c r="S169" s="935">
        <v>0</v>
      </c>
      <c r="T169" s="935">
        <f t="shared" si="20"/>
        <v>0</v>
      </c>
    </row>
    <row r="170" spans="2:20" hidden="1" x14ac:dyDescent="0.2">
      <c r="B170" s="3" t="s">
        <v>211</v>
      </c>
      <c r="C170" s="935">
        <v>0</v>
      </c>
      <c r="D170" s="935">
        <v>0</v>
      </c>
      <c r="E170" s="935">
        <v>0</v>
      </c>
      <c r="F170" s="935">
        <v>0</v>
      </c>
      <c r="G170" s="935">
        <v>0</v>
      </c>
      <c r="H170" s="935">
        <v>0</v>
      </c>
      <c r="I170" s="935">
        <v>0</v>
      </c>
      <c r="J170" s="935">
        <v>0</v>
      </c>
      <c r="K170" s="935">
        <v>0</v>
      </c>
      <c r="L170" s="935">
        <v>0</v>
      </c>
      <c r="M170" s="935">
        <v>0</v>
      </c>
      <c r="N170" s="935">
        <v>0</v>
      </c>
      <c r="O170" s="935">
        <v>0</v>
      </c>
      <c r="P170" s="935">
        <v>0</v>
      </c>
      <c r="Q170" s="935">
        <v>0</v>
      </c>
      <c r="R170" s="935">
        <v>0</v>
      </c>
      <c r="S170" s="935">
        <v>0</v>
      </c>
      <c r="T170" s="935">
        <f t="shared" si="20"/>
        <v>0</v>
      </c>
    </row>
    <row r="171" spans="2:20" hidden="1" x14ac:dyDescent="0.2">
      <c r="B171" s="3" t="s">
        <v>212</v>
      </c>
      <c r="C171" s="935">
        <v>0</v>
      </c>
      <c r="D171" s="935">
        <v>0</v>
      </c>
      <c r="E171" s="935">
        <v>0</v>
      </c>
      <c r="F171" s="935">
        <v>0</v>
      </c>
      <c r="G171" s="935">
        <v>0</v>
      </c>
      <c r="H171" s="935">
        <v>0</v>
      </c>
      <c r="I171" s="935">
        <v>0</v>
      </c>
      <c r="J171" s="935">
        <v>0</v>
      </c>
      <c r="K171" s="935">
        <v>0</v>
      </c>
      <c r="L171" s="935">
        <v>0</v>
      </c>
      <c r="M171" s="935">
        <v>0</v>
      </c>
      <c r="N171" s="935">
        <v>0</v>
      </c>
      <c r="O171" s="935">
        <v>0</v>
      </c>
      <c r="P171" s="935">
        <v>0</v>
      </c>
      <c r="Q171" s="935">
        <v>0</v>
      </c>
      <c r="R171" s="935">
        <v>0</v>
      </c>
      <c r="S171" s="935">
        <v>0</v>
      </c>
      <c r="T171" s="935">
        <f t="shared" si="20"/>
        <v>0</v>
      </c>
    </row>
    <row r="172" spans="2:20" hidden="1" x14ac:dyDescent="0.2">
      <c r="B172" s="3" t="s">
        <v>213</v>
      </c>
      <c r="C172" s="935">
        <v>0</v>
      </c>
      <c r="D172" s="935">
        <v>0</v>
      </c>
      <c r="E172" s="935">
        <v>0</v>
      </c>
      <c r="F172" s="935">
        <v>0</v>
      </c>
      <c r="G172" s="935">
        <v>0</v>
      </c>
      <c r="H172" s="935">
        <v>0</v>
      </c>
      <c r="I172" s="935">
        <v>0</v>
      </c>
      <c r="J172" s="935">
        <v>0</v>
      </c>
      <c r="K172" s="935">
        <v>0</v>
      </c>
      <c r="L172" s="935">
        <v>0</v>
      </c>
      <c r="M172" s="935">
        <v>0</v>
      </c>
      <c r="N172" s="935">
        <v>0</v>
      </c>
      <c r="O172" s="935">
        <v>0</v>
      </c>
      <c r="P172" s="935">
        <v>0</v>
      </c>
      <c r="Q172" s="935">
        <v>0</v>
      </c>
      <c r="R172" s="935">
        <v>0</v>
      </c>
      <c r="S172" s="935">
        <v>0</v>
      </c>
      <c r="T172" s="935">
        <f t="shared" si="20"/>
        <v>0</v>
      </c>
    </row>
    <row r="173" spans="2:20" hidden="1" x14ac:dyDescent="0.2">
      <c r="B173" s="3" t="s">
        <v>214</v>
      </c>
      <c r="C173" s="935">
        <v>0</v>
      </c>
      <c r="D173" s="935">
        <v>0</v>
      </c>
      <c r="E173" s="935">
        <v>0</v>
      </c>
      <c r="F173" s="935">
        <v>0</v>
      </c>
      <c r="G173" s="935">
        <v>0</v>
      </c>
      <c r="H173" s="935">
        <v>0</v>
      </c>
      <c r="I173" s="935">
        <v>0</v>
      </c>
      <c r="J173" s="935">
        <v>0</v>
      </c>
      <c r="K173" s="935">
        <v>0</v>
      </c>
      <c r="L173" s="935">
        <v>0</v>
      </c>
      <c r="M173" s="935">
        <v>0</v>
      </c>
      <c r="N173" s="935">
        <v>0</v>
      </c>
      <c r="O173" s="935">
        <v>0</v>
      </c>
      <c r="P173" s="935">
        <v>0</v>
      </c>
      <c r="Q173" s="935">
        <v>0</v>
      </c>
      <c r="R173" s="935">
        <v>0</v>
      </c>
      <c r="S173" s="935">
        <v>0</v>
      </c>
      <c r="T173" s="935">
        <f t="shared" si="20"/>
        <v>0</v>
      </c>
    </row>
    <row r="174" spans="2:20" hidden="1" x14ac:dyDescent="0.2">
      <c r="B174" s="3" t="s">
        <v>215</v>
      </c>
      <c r="C174" s="935">
        <v>0</v>
      </c>
      <c r="D174" s="935">
        <v>0</v>
      </c>
      <c r="E174" s="935">
        <v>0</v>
      </c>
      <c r="F174" s="935">
        <v>0</v>
      </c>
      <c r="G174" s="935">
        <v>0</v>
      </c>
      <c r="H174" s="935">
        <v>0</v>
      </c>
      <c r="I174" s="935">
        <v>0</v>
      </c>
      <c r="J174" s="935">
        <v>0</v>
      </c>
      <c r="K174" s="935">
        <v>0</v>
      </c>
      <c r="L174" s="935">
        <v>0</v>
      </c>
      <c r="M174" s="935">
        <v>0</v>
      </c>
      <c r="N174" s="935">
        <v>0</v>
      </c>
      <c r="O174" s="935">
        <v>0</v>
      </c>
      <c r="P174" s="935">
        <v>0</v>
      </c>
      <c r="Q174" s="935">
        <v>0</v>
      </c>
      <c r="R174" s="935">
        <v>0</v>
      </c>
      <c r="S174" s="935">
        <v>0</v>
      </c>
      <c r="T174" s="935">
        <f t="shared" si="20"/>
        <v>0</v>
      </c>
    </row>
    <row r="175" spans="2:20" hidden="1" x14ac:dyDescent="0.2">
      <c r="B175" s="3" t="s">
        <v>216</v>
      </c>
      <c r="C175" s="935">
        <v>0</v>
      </c>
      <c r="D175" s="935">
        <v>0</v>
      </c>
      <c r="E175" s="935">
        <v>0</v>
      </c>
      <c r="F175" s="935">
        <v>0</v>
      </c>
      <c r="G175" s="935">
        <v>0</v>
      </c>
      <c r="H175" s="935">
        <v>0</v>
      </c>
      <c r="I175" s="935">
        <v>0</v>
      </c>
      <c r="J175" s="935">
        <v>0</v>
      </c>
      <c r="K175" s="935">
        <v>0</v>
      </c>
      <c r="L175" s="935">
        <v>0</v>
      </c>
      <c r="M175" s="935">
        <v>0</v>
      </c>
      <c r="N175" s="935">
        <v>0</v>
      </c>
      <c r="O175" s="935">
        <v>0</v>
      </c>
      <c r="P175" s="935">
        <v>0</v>
      </c>
      <c r="Q175" s="935">
        <v>0</v>
      </c>
      <c r="R175" s="935">
        <v>0</v>
      </c>
      <c r="S175" s="935">
        <v>0</v>
      </c>
      <c r="T175" s="935">
        <f t="shared" si="20"/>
        <v>0</v>
      </c>
    </row>
    <row r="176" spans="2:20" hidden="1" x14ac:dyDescent="0.2">
      <c r="B176" s="3" t="s">
        <v>217</v>
      </c>
      <c r="C176" s="935">
        <v>0</v>
      </c>
      <c r="D176" s="935">
        <v>0</v>
      </c>
      <c r="E176" s="935">
        <v>0</v>
      </c>
      <c r="F176" s="935">
        <v>0</v>
      </c>
      <c r="G176" s="935">
        <v>0</v>
      </c>
      <c r="H176" s="935">
        <v>0</v>
      </c>
      <c r="I176" s="935">
        <v>0</v>
      </c>
      <c r="J176" s="935">
        <v>0</v>
      </c>
      <c r="K176" s="935">
        <v>0</v>
      </c>
      <c r="L176" s="935">
        <v>0</v>
      </c>
      <c r="M176" s="935">
        <v>0</v>
      </c>
      <c r="N176" s="935">
        <v>0</v>
      </c>
      <c r="O176" s="935">
        <v>0</v>
      </c>
      <c r="P176" s="935">
        <v>0</v>
      </c>
      <c r="Q176" s="935">
        <v>0</v>
      </c>
      <c r="R176" s="935">
        <v>0</v>
      </c>
      <c r="S176" s="935">
        <v>0</v>
      </c>
      <c r="T176" s="935">
        <f t="shared" si="20"/>
        <v>0</v>
      </c>
    </row>
    <row r="177" spans="1:20" hidden="1" x14ac:dyDescent="0.2">
      <c r="B177" s="3" t="s">
        <v>218</v>
      </c>
      <c r="C177" s="935">
        <v>0</v>
      </c>
      <c r="D177" s="935">
        <v>0</v>
      </c>
      <c r="E177" s="935">
        <v>0</v>
      </c>
      <c r="F177" s="935">
        <v>0</v>
      </c>
      <c r="G177" s="935">
        <v>0</v>
      </c>
      <c r="H177" s="935">
        <v>0</v>
      </c>
      <c r="I177" s="935">
        <v>0</v>
      </c>
      <c r="J177" s="935">
        <v>0</v>
      </c>
      <c r="K177" s="935">
        <v>0</v>
      </c>
      <c r="L177" s="935">
        <v>0</v>
      </c>
      <c r="M177" s="935">
        <v>0</v>
      </c>
      <c r="N177" s="935">
        <v>0</v>
      </c>
      <c r="O177" s="935">
        <v>0</v>
      </c>
      <c r="P177" s="935">
        <v>0</v>
      </c>
      <c r="Q177" s="935">
        <v>0</v>
      </c>
      <c r="R177" s="935">
        <v>0</v>
      </c>
      <c r="S177" s="935">
        <v>0</v>
      </c>
      <c r="T177" s="935">
        <f t="shared" si="20"/>
        <v>0</v>
      </c>
    </row>
    <row r="178" spans="1:20" hidden="1" x14ac:dyDescent="0.2">
      <c r="B178" s="3" t="s">
        <v>219</v>
      </c>
      <c r="C178" s="935">
        <v>0</v>
      </c>
      <c r="D178" s="935">
        <v>0</v>
      </c>
      <c r="E178" s="935">
        <v>0</v>
      </c>
      <c r="F178" s="935">
        <v>0</v>
      </c>
      <c r="G178" s="935">
        <v>0</v>
      </c>
      <c r="H178" s="935">
        <v>0</v>
      </c>
      <c r="I178" s="935">
        <v>0</v>
      </c>
      <c r="J178" s="935">
        <v>0</v>
      </c>
      <c r="K178" s="935">
        <v>0</v>
      </c>
      <c r="L178" s="935">
        <v>0</v>
      </c>
      <c r="M178" s="935">
        <v>0</v>
      </c>
      <c r="N178" s="935">
        <v>0</v>
      </c>
      <c r="O178" s="935">
        <v>0</v>
      </c>
      <c r="P178" s="935">
        <v>0</v>
      </c>
      <c r="Q178" s="935">
        <v>0</v>
      </c>
      <c r="R178" s="935">
        <v>0</v>
      </c>
      <c r="S178" s="935">
        <v>0</v>
      </c>
      <c r="T178" s="935">
        <f t="shared" si="20"/>
        <v>0</v>
      </c>
    </row>
    <row r="179" spans="1:20" hidden="1" x14ac:dyDescent="0.2">
      <c r="B179" s="3" t="s">
        <v>220</v>
      </c>
      <c r="C179" s="935">
        <v>0</v>
      </c>
      <c r="D179" s="935">
        <v>0</v>
      </c>
      <c r="E179" s="935">
        <v>0</v>
      </c>
      <c r="F179" s="935">
        <v>0</v>
      </c>
      <c r="G179" s="935">
        <v>0</v>
      </c>
      <c r="H179" s="935">
        <v>0</v>
      </c>
      <c r="I179" s="935">
        <v>0</v>
      </c>
      <c r="J179" s="935">
        <v>0</v>
      </c>
      <c r="K179" s="935">
        <v>0</v>
      </c>
      <c r="L179" s="935">
        <v>0</v>
      </c>
      <c r="M179" s="935">
        <v>0</v>
      </c>
      <c r="N179" s="935">
        <v>0</v>
      </c>
      <c r="O179" s="935">
        <v>0</v>
      </c>
      <c r="P179" s="935">
        <v>0</v>
      </c>
      <c r="Q179" s="935">
        <v>0</v>
      </c>
      <c r="R179" s="935">
        <v>0</v>
      </c>
      <c r="S179" s="935">
        <v>0</v>
      </c>
      <c r="T179" s="935">
        <f t="shared" si="20"/>
        <v>0</v>
      </c>
    </row>
    <row r="180" spans="1:20" hidden="1" x14ac:dyDescent="0.2">
      <c r="B180" s="3" t="s">
        <v>221</v>
      </c>
      <c r="C180" s="935">
        <v>0</v>
      </c>
      <c r="D180" s="935">
        <v>0</v>
      </c>
      <c r="E180" s="935">
        <v>0</v>
      </c>
      <c r="F180" s="935">
        <v>0</v>
      </c>
      <c r="G180" s="935">
        <v>0</v>
      </c>
      <c r="H180" s="935">
        <v>0</v>
      </c>
      <c r="I180" s="935">
        <v>0</v>
      </c>
      <c r="J180" s="935">
        <v>0</v>
      </c>
      <c r="K180" s="935">
        <v>0</v>
      </c>
      <c r="L180" s="935">
        <v>0</v>
      </c>
      <c r="M180" s="935">
        <v>0</v>
      </c>
      <c r="N180" s="935">
        <v>0</v>
      </c>
      <c r="O180" s="935">
        <v>0</v>
      </c>
      <c r="P180" s="935">
        <v>0</v>
      </c>
      <c r="Q180" s="935">
        <v>0</v>
      </c>
      <c r="R180" s="935">
        <v>0</v>
      </c>
      <c r="S180" s="935">
        <v>0</v>
      </c>
      <c r="T180" s="935">
        <f t="shared" si="20"/>
        <v>0</v>
      </c>
    </row>
    <row r="181" spans="1:20" hidden="1" x14ac:dyDescent="0.2">
      <c r="A181" s="2" t="s">
        <v>10</v>
      </c>
      <c r="B181" s="3" t="s">
        <v>142</v>
      </c>
      <c r="C181" s="935">
        <v>0</v>
      </c>
      <c r="D181" s="935">
        <v>0</v>
      </c>
      <c r="E181" s="935">
        <v>0</v>
      </c>
      <c r="F181" s="935">
        <v>0</v>
      </c>
      <c r="G181" s="935">
        <v>0</v>
      </c>
      <c r="H181" s="935">
        <v>0</v>
      </c>
      <c r="I181" s="935">
        <v>0</v>
      </c>
      <c r="J181" s="935">
        <v>0</v>
      </c>
      <c r="K181" s="935">
        <v>0</v>
      </c>
      <c r="L181" s="935">
        <v>0</v>
      </c>
      <c r="M181" s="935">
        <v>0</v>
      </c>
      <c r="N181" s="935">
        <v>0</v>
      </c>
      <c r="O181" s="935">
        <v>0</v>
      </c>
      <c r="P181" s="935">
        <v>0</v>
      </c>
      <c r="Q181" s="935">
        <v>0</v>
      </c>
      <c r="R181" s="935">
        <v>0</v>
      </c>
      <c r="S181" s="935">
        <v>0</v>
      </c>
      <c r="T181" s="935">
        <f t="shared" si="20"/>
        <v>0</v>
      </c>
    </row>
    <row r="182" spans="1:20" hidden="1" x14ac:dyDescent="0.2">
      <c r="A182" s="2" t="s">
        <v>10</v>
      </c>
      <c r="B182" s="3" t="s">
        <v>141</v>
      </c>
      <c r="C182" s="935">
        <v>0</v>
      </c>
      <c r="D182" s="935">
        <v>0</v>
      </c>
      <c r="E182" s="935">
        <v>0</v>
      </c>
      <c r="F182" s="935">
        <v>0</v>
      </c>
      <c r="G182" s="935">
        <v>0</v>
      </c>
      <c r="H182" s="935">
        <v>0</v>
      </c>
      <c r="I182" s="935">
        <v>0</v>
      </c>
      <c r="J182" s="935">
        <v>0</v>
      </c>
      <c r="K182" s="935">
        <v>0</v>
      </c>
      <c r="L182" s="935">
        <v>0</v>
      </c>
      <c r="M182" s="935">
        <v>0</v>
      </c>
      <c r="N182" s="935">
        <v>0</v>
      </c>
      <c r="O182" s="935">
        <v>0</v>
      </c>
      <c r="P182" s="935">
        <v>0</v>
      </c>
      <c r="Q182" s="935">
        <v>0</v>
      </c>
      <c r="R182" s="935">
        <v>0</v>
      </c>
      <c r="S182" s="935">
        <v>0</v>
      </c>
      <c r="T182" s="935">
        <f t="shared" si="20"/>
        <v>0</v>
      </c>
    </row>
    <row r="183" spans="1:20" hidden="1" x14ac:dyDescent="0.2">
      <c r="A183" s="2" t="s">
        <v>33</v>
      </c>
      <c r="B183" s="3" t="s">
        <v>222</v>
      </c>
      <c r="C183" s="935">
        <v>0</v>
      </c>
      <c r="D183" s="935">
        <v>0</v>
      </c>
      <c r="E183" s="935">
        <v>0</v>
      </c>
      <c r="F183" s="935">
        <v>0</v>
      </c>
      <c r="G183" s="935">
        <v>0</v>
      </c>
      <c r="H183" s="935">
        <v>0</v>
      </c>
      <c r="I183" s="935">
        <v>0</v>
      </c>
      <c r="J183" s="935">
        <v>0</v>
      </c>
      <c r="K183" s="935">
        <v>0</v>
      </c>
      <c r="L183" s="935">
        <v>0</v>
      </c>
      <c r="M183" s="935">
        <v>0</v>
      </c>
      <c r="N183" s="935">
        <v>0</v>
      </c>
      <c r="O183" s="935">
        <v>0</v>
      </c>
      <c r="P183" s="935">
        <v>0</v>
      </c>
      <c r="Q183" s="935">
        <v>0</v>
      </c>
      <c r="R183" s="935">
        <v>0</v>
      </c>
      <c r="S183" s="935">
        <v>0</v>
      </c>
      <c r="T183" s="935">
        <f t="shared" si="20"/>
        <v>0</v>
      </c>
    </row>
    <row r="184" spans="1:20" hidden="1" x14ac:dyDescent="0.2">
      <c r="A184" s="2" t="s">
        <v>10</v>
      </c>
      <c r="B184" s="3" t="s">
        <v>138</v>
      </c>
      <c r="C184" s="935">
        <v>0</v>
      </c>
      <c r="D184" s="935">
        <v>0</v>
      </c>
      <c r="E184" s="935">
        <v>0</v>
      </c>
      <c r="F184" s="935">
        <v>0</v>
      </c>
      <c r="G184" s="935">
        <v>0</v>
      </c>
      <c r="H184" s="935">
        <v>0</v>
      </c>
      <c r="I184" s="935">
        <v>0</v>
      </c>
      <c r="J184" s="935">
        <v>0</v>
      </c>
      <c r="K184" s="935">
        <v>0</v>
      </c>
      <c r="L184" s="935">
        <v>0</v>
      </c>
      <c r="M184" s="935">
        <v>0</v>
      </c>
      <c r="N184" s="935">
        <v>0</v>
      </c>
      <c r="O184" s="935">
        <v>0</v>
      </c>
      <c r="P184" s="935">
        <v>0</v>
      </c>
      <c r="Q184" s="935">
        <v>0</v>
      </c>
      <c r="R184" s="935">
        <v>0</v>
      </c>
      <c r="S184" s="935">
        <v>0</v>
      </c>
      <c r="T184" s="935">
        <f t="shared" si="20"/>
        <v>0</v>
      </c>
    </row>
    <row r="185" spans="1:20" hidden="1" x14ac:dyDescent="0.2">
      <c r="A185" s="2" t="s">
        <v>10</v>
      </c>
      <c r="B185" s="3" t="s">
        <v>136</v>
      </c>
      <c r="C185" s="935">
        <v>0</v>
      </c>
      <c r="D185" s="935">
        <v>0</v>
      </c>
      <c r="E185" s="935">
        <v>0</v>
      </c>
      <c r="F185" s="935">
        <v>0</v>
      </c>
      <c r="G185" s="935">
        <v>0</v>
      </c>
      <c r="H185" s="935">
        <v>0</v>
      </c>
      <c r="I185" s="935">
        <v>0</v>
      </c>
      <c r="J185" s="935">
        <v>0</v>
      </c>
      <c r="K185" s="935">
        <v>0</v>
      </c>
      <c r="L185" s="935">
        <v>0</v>
      </c>
      <c r="M185" s="935">
        <v>0</v>
      </c>
      <c r="N185" s="935">
        <v>0</v>
      </c>
      <c r="O185" s="935">
        <v>0</v>
      </c>
      <c r="P185" s="935">
        <v>0</v>
      </c>
      <c r="Q185" s="935">
        <v>0</v>
      </c>
      <c r="R185" s="935">
        <v>0</v>
      </c>
      <c r="S185" s="935">
        <v>0</v>
      </c>
      <c r="T185" s="935">
        <f t="shared" si="20"/>
        <v>0</v>
      </c>
    </row>
    <row r="186" spans="1:20" hidden="1" x14ac:dyDescent="0.2">
      <c r="B186" s="3" t="s">
        <v>223</v>
      </c>
      <c r="C186" s="935">
        <v>0</v>
      </c>
      <c r="D186" s="935">
        <v>0</v>
      </c>
      <c r="E186" s="935">
        <v>0</v>
      </c>
      <c r="F186" s="935">
        <v>0</v>
      </c>
      <c r="G186" s="935">
        <v>0</v>
      </c>
      <c r="H186" s="935">
        <v>0</v>
      </c>
      <c r="I186" s="935">
        <v>0</v>
      </c>
      <c r="J186" s="935">
        <v>0</v>
      </c>
      <c r="K186" s="935">
        <v>0</v>
      </c>
      <c r="L186" s="935">
        <v>0</v>
      </c>
      <c r="M186" s="935">
        <v>0</v>
      </c>
      <c r="N186" s="935">
        <v>0</v>
      </c>
      <c r="O186" s="935">
        <v>0</v>
      </c>
      <c r="P186" s="935">
        <v>0</v>
      </c>
      <c r="Q186" s="935">
        <v>0</v>
      </c>
      <c r="R186" s="935">
        <v>0</v>
      </c>
      <c r="S186" s="935">
        <v>0</v>
      </c>
      <c r="T186" s="935">
        <f t="shared" si="20"/>
        <v>0</v>
      </c>
    </row>
    <row r="187" spans="1:20" hidden="1" x14ac:dyDescent="0.2">
      <c r="B187" s="3" t="s">
        <v>224</v>
      </c>
      <c r="C187" s="935">
        <v>0</v>
      </c>
      <c r="D187" s="935">
        <v>0</v>
      </c>
      <c r="E187" s="935">
        <v>0</v>
      </c>
      <c r="F187" s="935">
        <v>0</v>
      </c>
      <c r="G187" s="935">
        <v>0</v>
      </c>
      <c r="H187" s="935">
        <v>0</v>
      </c>
      <c r="I187" s="935">
        <v>0</v>
      </c>
      <c r="J187" s="935">
        <v>0</v>
      </c>
      <c r="K187" s="935">
        <v>0</v>
      </c>
      <c r="L187" s="935">
        <v>0</v>
      </c>
      <c r="M187" s="935">
        <v>0</v>
      </c>
      <c r="N187" s="935">
        <v>0</v>
      </c>
      <c r="O187" s="935">
        <v>0</v>
      </c>
      <c r="P187" s="935">
        <v>0</v>
      </c>
      <c r="Q187" s="935">
        <v>0</v>
      </c>
      <c r="R187" s="935">
        <v>0</v>
      </c>
      <c r="S187" s="935">
        <v>0</v>
      </c>
      <c r="T187" s="935">
        <f t="shared" si="20"/>
        <v>0</v>
      </c>
    </row>
    <row r="188" spans="1:20" hidden="1" x14ac:dyDescent="0.2">
      <c r="B188" s="3" t="s">
        <v>225</v>
      </c>
      <c r="C188" s="935">
        <v>0</v>
      </c>
      <c r="D188" s="935">
        <v>0</v>
      </c>
      <c r="E188" s="935">
        <v>0</v>
      </c>
      <c r="F188" s="935">
        <v>0</v>
      </c>
      <c r="G188" s="935">
        <v>0</v>
      </c>
      <c r="H188" s="935">
        <v>0</v>
      </c>
      <c r="I188" s="935">
        <v>0</v>
      </c>
      <c r="J188" s="935">
        <v>0</v>
      </c>
      <c r="K188" s="935">
        <v>0</v>
      </c>
      <c r="L188" s="935">
        <v>0</v>
      </c>
      <c r="M188" s="935">
        <v>0</v>
      </c>
      <c r="N188" s="935">
        <v>0</v>
      </c>
      <c r="O188" s="935">
        <v>0</v>
      </c>
      <c r="P188" s="935">
        <v>0</v>
      </c>
      <c r="Q188" s="935">
        <v>0</v>
      </c>
      <c r="R188" s="935">
        <v>0</v>
      </c>
      <c r="S188" s="935">
        <v>0</v>
      </c>
      <c r="T188" s="935">
        <f t="shared" si="20"/>
        <v>0</v>
      </c>
    </row>
    <row r="189" spans="1:20" hidden="1" x14ac:dyDescent="0.2">
      <c r="B189" s="3" t="s">
        <v>226</v>
      </c>
      <c r="C189" s="935">
        <v>0</v>
      </c>
      <c r="D189" s="935">
        <v>0</v>
      </c>
      <c r="E189" s="935">
        <v>0</v>
      </c>
      <c r="F189" s="935">
        <v>0</v>
      </c>
      <c r="G189" s="935">
        <v>0</v>
      </c>
      <c r="H189" s="935">
        <v>0</v>
      </c>
      <c r="I189" s="935">
        <v>0</v>
      </c>
      <c r="J189" s="935">
        <v>0</v>
      </c>
      <c r="K189" s="935">
        <v>0</v>
      </c>
      <c r="L189" s="935">
        <v>0</v>
      </c>
      <c r="M189" s="935">
        <v>0</v>
      </c>
      <c r="N189" s="935">
        <v>0</v>
      </c>
      <c r="O189" s="935">
        <v>0</v>
      </c>
      <c r="P189" s="935">
        <v>0</v>
      </c>
      <c r="Q189" s="935">
        <v>0</v>
      </c>
      <c r="R189" s="935">
        <v>0</v>
      </c>
      <c r="S189" s="935">
        <v>0</v>
      </c>
      <c r="T189" s="935">
        <f t="shared" si="20"/>
        <v>0</v>
      </c>
    </row>
    <row r="190" spans="1:20" hidden="1" x14ac:dyDescent="0.2">
      <c r="B190" s="3" t="s">
        <v>227</v>
      </c>
      <c r="C190" s="935">
        <v>0</v>
      </c>
      <c r="D190" s="935">
        <v>0</v>
      </c>
      <c r="E190" s="935">
        <v>0</v>
      </c>
      <c r="F190" s="935">
        <v>0</v>
      </c>
      <c r="G190" s="935">
        <v>0</v>
      </c>
      <c r="H190" s="935">
        <v>0</v>
      </c>
      <c r="I190" s="935">
        <v>0</v>
      </c>
      <c r="J190" s="935">
        <v>0</v>
      </c>
      <c r="K190" s="935">
        <v>0</v>
      </c>
      <c r="L190" s="935">
        <v>0</v>
      </c>
      <c r="M190" s="935">
        <v>0</v>
      </c>
      <c r="N190" s="935">
        <v>0</v>
      </c>
      <c r="O190" s="935">
        <v>0</v>
      </c>
      <c r="P190" s="935">
        <v>0</v>
      </c>
      <c r="Q190" s="935">
        <v>0</v>
      </c>
      <c r="R190" s="935">
        <v>0</v>
      </c>
      <c r="S190" s="935">
        <v>0</v>
      </c>
      <c r="T190" s="935">
        <f t="shared" si="20"/>
        <v>0</v>
      </c>
    </row>
    <row r="191" spans="1:20" hidden="1" x14ac:dyDescent="0.2">
      <c r="B191" s="3" t="s">
        <v>228</v>
      </c>
      <c r="C191" s="935">
        <v>0</v>
      </c>
      <c r="D191" s="935">
        <v>0</v>
      </c>
      <c r="E191" s="935">
        <v>0</v>
      </c>
      <c r="F191" s="935">
        <v>0</v>
      </c>
      <c r="G191" s="935">
        <v>0</v>
      </c>
      <c r="H191" s="935">
        <v>0</v>
      </c>
      <c r="I191" s="935">
        <v>0</v>
      </c>
      <c r="J191" s="935">
        <v>0</v>
      </c>
      <c r="K191" s="935">
        <v>0</v>
      </c>
      <c r="L191" s="935">
        <v>0</v>
      </c>
      <c r="M191" s="935">
        <v>0</v>
      </c>
      <c r="N191" s="935">
        <v>0</v>
      </c>
      <c r="O191" s="935">
        <v>0</v>
      </c>
      <c r="P191" s="935">
        <v>0</v>
      </c>
      <c r="Q191" s="935">
        <v>0</v>
      </c>
      <c r="R191" s="935">
        <v>0</v>
      </c>
      <c r="S191" s="935">
        <v>0</v>
      </c>
      <c r="T191" s="935">
        <f t="shared" si="20"/>
        <v>0</v>
      </c>
    </row>
    <row r="192" spans="1:20" hidden="1" x14ac:dyDescent="0.2">
      <c r="B192" s="3" t="s">
        <v>229</v>
      </c>
      <c r="C192" s="935">
        <v>0</v>
      </c>
      <c r="D192" s="935">
        <v>0</v>
      </c>
      <c r="E192" s="935">
        <v>0</v>
      </c>
      <c r="F192" s="935">
        <v>0</v>
      </c>
      <c r="G192" s="935">
        <v>0</v>
      </c>
      <c r="H192" s="935">
        <v>0</v>
      </c>
      <c r="I192" s="935">
        <v>0</v>
      </c>
      <c r="J192" s="935">
        <v>0</v>
      </c>
      <c r="K192" s="935">
        <v>0</v>
      </c>
      <c r="L192" s="935">
        <v>0</v>
      </c>
      <c r="M192" s="935">
        <v>0</v>
      </c>
      <c r="N192" s="935">
        <v>0</v>
      </c>
      <c r="O192" s="935">
        <v>0</v>
      </c>
      <c r="P192" s="935">
        <v>0</v>
      </c>
      <c r="Q192" s="935">
        <v>0</v>
      </c>
      <c r="R192" s="935">
        <v>0</v>
      </c>
      <c r="S192" s="935">
        <v>0</v>
      </c>
      <c r="T192" s="935">
        <f t="shared" si="20"/>
        <v>0</v>
      </c>
    </row>
    <row r="193" spans="2:20" hidden="1" x14ac:dyDescent="0.2">
      <c r="B193" s="3" t="s">
        <v>230</v>
      </c>
      <c r="C193" s="935">
        <v>0</v>
      </c>
      <c r="D193" s="935">
        <v>0</v>
      </c>
      <c r="E193" s="935">
        <v>0</v>
      </c>
      <c r="F193" s="935">
        <v>0</v>
      </c>
      <c r="G193" s="935">
        <v>0</v>
      </c>
      <c r="H193" s="935">
        <v>0</v>
      </c>
      <c r="I193" s="935">
        <v>0</v>
      </c>
      <c r="J193" s="935">
        <v>0</v>
      </c>
      <c r="K193" s="935">
        <v>0</v>
      </c>
      <c r="L193" s="935">
        <v>0</v>
      </c>
      <c r="M193" s="935">
        <v>0</v>
      </c>
      <c r="N193" s="935">
        <v>0</v>
      </c>
      <c r="O193" s="935">
        <v>0</v>
      </c>
      <c r="P193" s="935">
        <v>0</v>
      </c>
      <c r="Q193" s="935">
        <v>0</v>
      </c>
      <c r="R193" s="935">
        <v>0</v>
      </c>
      <c r="S193" s="935">
        <v>0</v>
      </c>
      <c r="T193" s="935">
        <f t="shared" si="20"/>
        <v>0</v>
      </c>
    </row>
    <row r="194" spans="2:20" hidden="1" x14ac:dyDescent="0.2">
      <c r="B194" s="3" t="s">
        <v>231</v>
      </c>
      <c r="C194" s="935">
        <v>0</v>
      </c>
      <c r="D194" s="935">
        <v>0</v>
      </c>
      <c r="E194" s="935">
        <v>0</v>
      </c>
      <c r="F194" s="935">
        <v>0</v>
      </c>
      <c r="G194" s="935">
        <v>0</v>
      </c>
      <c r="H194" s="935">
        <v>0</v>
      </c>
      <c r="I194" s="935">
        <v>0</v>
      </c>
      <c r="J194" s="935">
        <v>0</v>
      </c>
      <c r="K194" s="935">
        <v>0</v>
      </c>
      <c r="L194" s="935">
        <v>0</v>
      </c>
      <c r="M194" s="935">
        <v>0</v>
      </c>
      <c r="N194" s="935">
        <v>0</v>
      </c>
      <c r="O194" s="935">
        <v>0</v>
      </c>
      <c r="P194" s="935">
        <v>0</v>
      </c>
      <c r="Q194" s="935">
        <v>0</v>
      </c>
      <c r="R194" s="935">
        <v>0</v>
      </c>
      <c r="S194" s="935">
        <v>0</v>
      </c>
      <c r="T194" s="935">
        <f t="shared" si="20"/>
        <v>0</v>
      </c>
    </row>
    <row r="195" spans="2:20" hidden="1" x14ac:dyDescent="0.2">
      <c r="B195" s="3" t="s">
        <v>232</v>
      </c>
      <c r="C195" s="935">
        <v>0</v>
      </c>
      <c r="D195" s="935">
        <v>0</v>
      </c>
      <c r="E195" s="935">
        <v>0</v>
      </c>
      <c r="F195" s="935">
        <v>0</v>
      </c>
      <c r="G195" s="935">
        <v>0</v>
      </c>
      <c r="H195" s="935">
        <v>0</v>
      </c>
      <c r="I195" s="935">
        <v>0</v>
      </c>
      <c r="J195" s="935">
        <v>0</v>
      </c>
      <c r="K195" s="935">
        <v>0</v>
      </c>
      <c r="L195" s="935">
        <v>0</v>
      </c>
      <c r="M195" s="935">
        <v>0</v>
      </c>
      <c r="N195" s="935">
        <v>0</v>
      </c>
      <c r="O195" s="935">
        <v>0</v>
      </c>
      <c r="P195" s="935">
        <v>0</v>
      </c>
      <c r="Q195" s="935">
        <v>0</v>
      </c>
      <c r="R195" s="935">
        <v>0</v>
      </c>
      <c r="S195" s="935">
        <v>0</v>
      </c>
      <c r="T195" s="935">
        <f t="shared" si="20"/>
        <v>0</v>
      </c>
    </row>
    <row r="196" spans="2:20" hidden="1" x14ac:dyDescent="0.2">
      <c r="B196" s="3" t="s">
        <v>233</v>
      </c>
      <c r="C196" s="935">
        <v>0</v>
      </c>
      <c r="D196" s="935">
        <v>0</v>
      </c>
      <c r="E196" s="935">
        <v>0</v>
      </c>
      <c r="F196" s="935">
        <v>0</v>
      </c>
      <c r="G196" s="935">
        <v>0</v>
      </c>
      <c r="H196" s="935">
        <v>0</v>
      </c>
      <c r="I196" s="935">
        <v>0</v>
      </c>
      <c r="J196" s="935">
        <v>0</v>
      </c>
      <c r="K196" s="935">
        <v>0</v>
      </c>
      <c r="L196" s="935">
        <v>0</v>
      </c>
      <c r="M196" s="935">
        <v>0</v>
      </c>
      <c r="N196" s="935">
        <v>0</v>
      </c>
      <c r="O196" s="935">
        <v>0</v>
      </c>
      <c r="P196" s="935">
        <v>0</v>
      </c>
      <c r="Q196" s="935">
        <v>0</v>
      </c>
      <c r="R196" s="935">
        <v>0</v>
      </c>
      <c r="S196" s="935">
        <v>0</v>
      </c>
      <c r="T196" s="935">
        <f t="shared" si="20"/>
        <v>0</v>
      </c>
    </row>
    <row r="197" spans="2:20" hidden="1" x14ac:dyDescent="0.2">
      <c r="B197" s="3" t="s">
        <v>234</v>
      </c>
      <c r="C197" s="935">
        <v>0</v>
      </c>
      <c r="D197" s="935">
        <v>0</v>
      </c>
      <c r="E197" s="935">
        <v>0</v>
      </c>
      <c r="F197" s="935">
        <v>0</v>
      </c>
      <c r="G197" s="935">
        <v>0</v>
      </c>
      <c r="H197" s="935">
        <v>0</v>
      </c>
      <c r="I197" s="935">
        <v>0</v>
      </c>
      <c r="J197" s="935">
        <v>0</v>
      </c>
      <c r="K197" s="935">
        <v>0</v>
      </c>
      <c r="L197" s="935">
        <v>0</v>
      </c>
      <c r="M197" s="935">
        <v>0</v>
      </c>
      <c r="N197" s="935">
        <v>0</v>
      </c>
      <c r="O197" s="935">
        <v>0</v>
      </c>
      <c r="P197" s="935">
        <v>0</v>
      </c>
      <c r="Q197" s="935">
        <v>0</v>
      </c>
      <c r="R197" s="935">
        <v>0</v>
      </c>
      <c r="S197" s="935">
        <v>0</v>
      </c>
      <c r="T197" s="935">
        <f t="shared" si="20"/>
        <v>0</v>
      </c>
    </row>
    <row r="198" spans="2:20" x14ac:dyDescent="0.2">
      <c r="B198" s="3" t="s">
        <v>9</v>
      </c>
      <c r="C198" s="935">
        <v>0</v>
      </c>
      <c r="D198" s="935">
        <v>0</v>
      </c>
      <c r="E198" s="935">
        <v>0</v>
      </c>
      <c r="F198" s="935">
        <v>0</v>
      </c>
      <c r="G198" s="935">
        <v>0</v>
      </c>
      <c r="H198" s="935">
        <v>0</v>
      </c>
      <c r="I198" s="935">
        <v>0</v>
      </c>
      <c r="J198" s="935">
        <v>0</v>
      </c>
      <c r="K198" s="935">
        <v>0</v>
      </c>
      <c r="L198" s="935">
        <v>0</v>
      </c>
      <c r="M198" s="935">
        <v>0</v>
      </c>
      <c r="N198" s="935">
        <v>0</v>
      </c>
      <c r="O198" s="935">
        <v>0</v>
      </c>
      <c r="P198" s="935">
        <v>0</v>
      </c>
      <c r="Q198" s="935">
        <v>0</v>
      </c>
      <c r="R198" s="935">
        <v>0</v>
      </c>
      <c r="S198" s="935">
        <v>-9158251</v>
      </c>
      <c r="T198" s="935">
        <f t="shared" si="20"/>
        <v>-9158251</v>
      </c>
    </row>
    <row r="199" spans="2:20" hidden="1" x14ac:dyDescent="0.2">
      <c r="B199" s="3" t="s">
        <v>581</v>
      </c>
      <c r="C199" s="935">
        <v>0</v>
      </c>
      <c r="D199" s="935">
        <v>0</v>
      </c>
      <c r="E199" s="935">
        <v>0</v>
      </c>
      <c r="F199" s="935">
        <v>0</v>
      </c>
      <c r="G199" s="935">
        <v>0</v>
      </c>
      <c r="H199" s="935">
        <v>0</v>
      </c>
      <c r="I199" s="935">
        <v>0</v>
      </c>
      <c r="J199" s="935">
        <v>0</v>
      </c>
      <c r="K199" s="935">
        <v>0</v>
      </c>
      <c r="L199" s="935">
        <v>0</v>
      </c>
      <c r="M199" s="935">
        <v>0</v>
      </c>
      <c r="N199" s="935">
        <v>0</v>
      </c>
      <c r="O199" s="935">
        <v>0</v>
      </c>
      <c r="P199" s="935">
        <v>0</v>
      </c>
      <c r="Q199" s="935">
        <v>0</v>
      </c>
      <c r="R199" s="935">
        <v>0</v>
      </c>
      <c r="S199" s="935">
        <v>0</v>
      </c>
      <c r="T199" s="935">
        <f t="shared" si="20"/>
        <v>0</v>
      </c>
    </row>
    <row r="200" spans="2:20" hidden="1" x14ac:dyDescent="0.2">
      <c r="B200" s="3" t="s">
        <v>235</v>
      </c>
      <c r="C200" s="935">
        <v>0</v>
      </c>
      <c r="D200" s="935">
        <v>0</v>
      </c>
      <c r="E200" s="935">
        <v>0</v>
      </c>
      <c r="F200" s="935">
        <v>0</v>
      </c>
      <c r="G200" s="935">
        <v>0</v>
      </c>
      <c r="H200" s="935">
        <v>0</v>
      </c>
      <c r="I200" s="935">
        <v>0</v>
      </c>
      <c r="J200" s="935">
        <v>0</v>
      </c>
      <c r="K200" s="935">
        <v>0</v>
      </c>
      <c r="L200" s="935">
        <v>0</v>
      </c>
      <c r="M200" s="935">
        <v>0</v>
      </c>
      <c r="N200" s="935">
        <v>0</v>
      </c>
      <c r="O200" s="935">
        <v>0</v>
      </c>
      <c r="P200" s="935">
        <v>0</v>
      </c>
      <c r="Q200" s="935">
        <v>0</v>
      </c>
      <c r="R200" s="935">
        <v>0</v>
      </c>
      <c r="S200" s="935">
        <v>0</v>
      </c>
      <c r="T200" s="935">
        <f t="shared" si="20"/>
        <v>0</v>
      </c>
    </row>
    <row r="201" spans="2:20" x14ac:dyDescent="0.2">
      <c r="B201" s="3" t="s">
        <v>236</v>
      </c>
      <c r="C201" s="935">
        <v>0</v>
      </c>
      <c r="D201" s="935">
        <v>0</v>
      </c>
      <c r="E201" s="935">
        <v>0</v>
      </c>
      <c r="F201" s="935">
        <v>5972857</v>
      </c>
      <c r="G201" s="935">
        <v>0</v>
      </c>
      <c r="H201" s="935">
        <v>0</v>
      </c>
      <c r="I201" s="935">
        <v>0</v>
      </c>
      <c r="J201" s="935">
        <v>0</v>
      </c>
      <c r="K201" s="935">
        <v>0</v>
      </c>
      <c r="L201" s="935">
        <v>0</v>
      </c>
      <c r="M201" s="935">
        <v>0</v>
      </c>
      <c r="N201" s="935">
        <v>0</v>
      </c>
      <c r="O201" s="935">
        <v>0</v>
      </c>
      <c r="P201" s="935">
        <v>0</v>
      </c>
      <c r="Q201" s="935">
        <v>0</v>
      </c>
      <c r="R201" s="935">
        <v>0</v>
      </c>
      <c r="S201" s="935">
        <v>0</v>
      </c>
      <c r="T201" s="935">
        <f t="shared" ref="T201:T226" si="21">SUM(C201:S201)</f>
        <v>5972857</v>
      </c>
    </row>
    <row r="202" spans="2:20" hidden="1" x14ac:dyDescent="0.2">
      <c r="B202" s="3" t="s">
        <v>237</v>
      </c>
      <c r="C202" s="935">
        <v>0</v>
      </c>
      <c r="D202" s="935">
        <v>0</v>
      </c>
      <c r="E202" s="935">
        <v>0</v>
      </c>
      <c r="F202" s="935">
        <v>0</v>
      </c>
      <c r="G202" s="935">
        <v>0</v>
      </c>
      <c r="H202" s="935">
        <v>0</v>
      </c>
      <c r="I202" s="935">
        <v>0</v>
      </c>
      <c r="J202" s="935">
        <v>0</v>
      </c>
      <c r="K202" s="935">
        <v>0</v>
      </c>
      <c r="L202" s="935">
        <v>0</v>
      </c>
      <c r="M202" s="935">
        <v>0</v>
      </c>
      <c r="N202" s="935">
        <v>0</v>
      </c>
      <c r="O202" s="935">
        <v>0</v>
      </c>
      <c r="P202" s="935">
        <v>0</v>
      </c>
      <c r="Q202" s="935">
        <v>0</v>
      </c>
      <c r="R202" s="935">
        <v>0</v>
      </c>
      <c r="S202" s="935">
        <v>0</v>
      </c>
      <c r="T202" s="935">
        <f t="shared" si="21"/>
        <v>0</v>
      </c>
    </row>
    <row r="203" spans="2:20" hidden="1" x14ac:dyDescent="0.2">
      <c r="B203" s="3" t="s">
        <v>238</v>
      </c>
      <c r="C203" s="935">
        <v>0</v>
      </c>
      <c r="D203" s="935">
        <v>0</v>
      </c>
      <c r="E203" s="935">
        <v>0</v>
      </c>
      <c r="F203" s="935">
        <v>0</v>
      </c>
      <c r="G203" s="935">
        <v>0</v>
      </c>
      <c r="H203" s="935">
        <v>0</v>
      </c>
      <c r="I203" s="935">
        <v>0</v>
      </c>
      <c r="J203" s="935">
        <v>0</v>
      </c>
      <c r="K203" s="935">
        <v>0</v>
      </c>
      <c r="L203" s="935">
        <v>0</v>
      </c>
      <c r="M203" s="935">
        <v>0</v>
      </c>
      <c r="N203" s="935">
        <v>0</v>
      </c>
      <c r="O203" s="935">
        <v>0</v>
      </c>
      <c r="P203" s="935">
        <v>0</v>
      </c>
      <c r="Q203" s="935">
        <v>0</v>
      </c>
      <c r="R203" s="935">
        <v>0</v>
      </c>
      <c r="S203" s="935">
        <v>0</v>
      </c>
      <c r="T203" s="935">
        <f t="shared" si="21"/>
        <v>0</v>
      </c>
    </row>
    <row r="204" spans="2:20" hidden="1" x14ac:dyDescent="0.2">
      <c r="B204" s="3" t="s">
        <v>239</v>
      </c>
      <c r="C204" s="935">
        <v>0</v>
      </c>
      <c r="D204" s="935">
        <v>0</v>
      </c>
      <c r="E204" s="935">
        <v>0</v>
      </c>
      <c r="F204" s="935">
        <v>0</v>
      </c>
      <c r="G204" s="935">
        <v>0</v>
      </c>
      <c r="H204" s="935">
        <v>0</v>
      </c>
      <c r="I204" s="935">
        <v>0</v>
      </c>
      <c r="J204" s="935">
        <v>0</v>
      </c>
      <c r="K204" s="935">
        <v>0</v>
      </c>
      <c r="L204" s="935">
        <v>0</v>
      </c>
      <c r="M204" s="935">
        <v>0</v>
      </c>
      <c r="N204" s="935">
        <v>0</v>
      </c>
      <c r="O204" s="935">
        <v>0</v>
      </c>
      <c r="P204" s="935">
        <v>0</v>
      </c>
      <c r="Q204" s="935">
        <v>0</v>
      </c>
      <c r="R204" s="935">
        <v>0</v>
      </c>
      <c r="S204" s="935">
        <v>0</v>
      </c>
      <c r="T204" s="935">
        <f t="shared" si="21"/>
        <v>0</v>
      </c>
    </row>
    <row r="205" spans="2:20" hidden="1" x14ac:dyDescent="0.2">
      <c r="B205" s="3" t="s">
        <v>240</v>
      </c>
      <c r="C205" s="935">
        <v>0</v>
      </c>
      <c r="D205" s="935">
        <v>0</v>
      </c>
      <c r="E205" s="935">
        <v>0</v>
      </c>
      <c r="F205" s="935">
        <v>0</v>
      </c>
      <c r="G205" s="935">
        <v>0</v>
      </c>
      <c r="H205" s="935">
        <v>0</v>
      </c>
      <c r="I205" s="935">
        <v>0</v>
      </c>
      <c r="J205" s="935">
        <v>0</v>
      </c>
      <c r="K205" s="935">
        <v>0</v>
      </c>
      <c r="L205" s="935">
        <v>0</v>
      </c>
      <c r="M205" s="935">
        <v>0</v>
      </c>
      <c r="N205" s="935">
        <v>0</v>
      </c>
      <c r="O205" s="935">
        <v>0</v>
      </c>
      <c r="P205" s="935">
        <v>0</v>
      </c>
      <c r="Q205" s="935">
        <v>0</v>
      </c>
      <c r="R205" s="935">
        <v>0</v>
      </c>
      <c r="S205" s="935">
        <v>0</v>
      </c>
      <c r="T205" s="935">
        <f t="shared" si="21"/>
        <v>0</v>
      </c>
    </row>
    <row r="206" spans="2:20" hidden="1" x14ac:dyDescent="0.2">
      <c r="B206" s="3" t="s">
        <v>241</v>
      </c>
      <c r="C206" s="935">
        <v>0</v>
      </c>
      <c r="D206" s="935">
        <v>0</v>
      </c>
      <c r="E206" s="935">
        <v>0</v>
      </c>
      <c r="F206" s="935">
        <v>0</v>
      </c>
      <c r="G206" s="935">
        <v>0</v>
      </c>
      <c r="H206" s="935">
        <v>0</v>
      </c>
      <c r="I206" s="935">
        <v>0</v>
      </c>
      <c r="J206" s="935">
        <v>0</v>
      </c>
      <c r="K206" s="935">
        <v>0</v>
      </c>
      <c r="L206" s="935">
        <v>0</v>
      </c>
      <c r="M206" s="935">
        <v>0</v>
      </c>
      <c r="N206" s="935">
        <v>0</v>
      </c>
      <c r="O206" s="935">
        <v>0</v>
      </c>
      <c r="P206" s="935">
        <v>0</v>
      </c>
      <c r="Q206" s="935">
        <v>0</v>
      </c>
      <c r="R206" s="935">
        <v>0</v>
      </c>
      <c r="S206" s="935">
        <v>0</v>
      </c>
      <c r="T206" s="935">
        <f t="shared" si="21"/>
        <v>0</v>
      </c>
    </row>
    <row r="207" spans="2:20" hidden="1" x14ac:dyDescent="0.2">
      <c r="B207" s="3" t="s">
        <v>242</v>
      </c>
      <c r="C207" s="935">
        <v>0</v>
      </c>
      <c r="D207" s="935">
        <v>0</v>
      </c>
      <c r="E207" s="935">
        <v>0</v>
      </c>
      <c r="F207" s="935">
        <v>0</v>
      </c>
      <c r="G207" s="935">
        <v>0</v>
      </c>
      <c r="H207" s="935">
        <v>0</v>
      </c>
      <c r="I207" s="935">
        <v>0</v>
      </c>
      <c r="J207" s="935">
        <v>0</v>
      </c>
      <c r="K207" s="935">
        <v>0</v>
      </c>
      <c r="L207" s="935">
        <v>0</v>
      </c>
      <c r="M207" s="935">
        <v>0</v>
      </c>
      <c r="N207" s="935">
        <v>0</v>
      </c>
      <c r="O207" s="935">
        <v>0</v>
      </c>
      <c r="P207" s="935">
        <v>0</v>
      </c>
      <c r="Q207" s="935">
        <v>0</v>
      </c>
      <c r="R207" s="935">
        <v>0</v>
      </c>
      <c r="S207" s="935">
        <v>0</v>
      </c>
      <c r="T207" s="935">
        <f t="shared" si="21"/>
        <v>0</v>
      </c>
    </row>
    <row r="208" spans="2:20" hidden="1" x14ac:dyDescent="0.2">
      <c r="B208" s="3" t="s">
        <v>243</v>
      </c>
      <c r="C208" s="935">
        <v>0</v>
      </c>
      <c r="D208" s="935">
        <v>0</v>
      </c>
      <c r="E208" s="935">
        <v>0</v>
      </c>
      <c r="F208" s="935">
        <v>0</v>
      </c>
      <c r="G208" s="935">
        <v>0</v>
      </c>
      <c r="H208" s="935">
        <v>0</v>
      </c>
      <c r="I208" s="935">
        <v>0</v>
      </c>
      <c r="J208" s="935">
        <v>0</v>
      </c>
      <c r="K208" s="935">
        <v>0</v>
      </c>
      <c r="L208" s="935">
        <v>0</v>
      </c>
      <c r="M208" s="935">
        <v>0</v>
      </c>
      <c r="N208" s="935">
        <v>0</v>
      </c>
      <c r="O208" s="935">
        <v>0</v>
      </c>
      <c r="P208" s="935">
        <v>0</v>
      </c>
      <c r="Q208" s="935">
        <v>0</v>
      </c>
      <c r="R208" s="935">
        <v>0</v>
      </c>
      <c r="S208" s="935">
        <v>0</v>
      </c>
      <c r="T208" s="935">
        <f t="shared" si="21"/>
        <v>0</v>
      </c>
    </row>
    <row r="209" spans="2:20" hidden="1" x14ac:dyDescent="0.2">
      <c r="B209" s="3" t="s">
        <v>244</v>
      </c>
      <c r="C209" s="935">
        <v>0</v>
      </c>
      <c r="D209" s="935">
        <v>0</v>
      </c>
      <c r="E209" s="935">
        <v>0</v>
      </c>
      <c r="F209" s="935">
        <v>0</v>
      </c>
      <c r="G209" s="935">
        <v>0</v>
      </c>
      <c r="H209" s="935">
        <v>0</v>
      </c>
      <c r="I209" s="935">
        <v>0</v>
      </c>
      <c r="J209" s="935">
        <v>0</v>
      </c>
      <c r="K209" s="935">
        <v>0</v>
      </c>
      <c r="L209" s="935">
        <v>0</v>
      </c>
      <c r="M209" s="935">
        <v>0</v>
      </c>
      <c r="N209" s="935">
        <v>0</v>
      </c>
      <c r="O209" s="935">
        <v>0</v>
      </c>
      <c r="P209" s="935">
        <v>0</v>
      </c>
      <c r="Q209" s="935">
        <v>0</v>
      </c>
      <c r="R209" s="935">
        <v>0</v>
      </c>
      <c r="S209" s="935">
        <v>0</v>
      </c>
      <c r="T209" s="935">
        <f t="shared" si="21"/>
        <v>0</v>
      </c>
    </row>
    <row r="210" spans="2:20" hidden="1" x14ac:dyDescent="0.2">
      <c r="B210" s="2" t="s">
        <v>245</v>
      </c>
      <c r="C210" s="935"/>
      <c r="D210" s="935"/>
      <c r="E210" s="935"/>
      <c r="F210" s="935"/>
      <c r="G210" s="935"/>
      <c r="H210" s="935"/>
      <c r="I210" s="935"/>
      <c r="J210" s="935"/>
      <c r="K210" s="935"/>
      <c r="L210" s="935"/>
      <c r="M210" s="935"/>
      <c r="N210" s="935"/>
      <c r="O210" s="935"/>
      <c r="P210" s="935"/>
      <c r="Q210" s="935"/>
      <c r="R210" s="935"/>
      <c r="S210" s="935"/>
      <c r="T210" s="935">
        <f t="shared" si="21"/>
        <v>0</v>
      </c>
    </row>
    <row r="211" spans="2:20" hidden="1" x14ac:dyDescent="0.2">
      <c r="B211" s="3" t="s">
        <v>246</v>
      </c>
      <c r="C211" s="935">
        <v>0</v>
      </c>
      <c r="D211" s="935">
        <v>0</v>
      </c>
      <c r="E211" s="935">
        <v>0</v>
      </c>
      <c r="F211" s="935">
        <v>0</v>
      </c>
      <c r="G211" s="935">
        <v>0</v>
      </c>
      <c r="H211" s="935">
        <v>0</v>
      </c>
      <c r="I211" s="935">
        <v>0</v>
      </c>
      <c r="J211" s="935">
        <v>0</v>
      </c>
      <c r="K211" s="935">
        <v>0</v>
      </c>
      <c r="L211" s="935">
        <v>0</v>
      </c>
      <c r="M211" s="935">
        <v>0</v>
      </c>
      <c r="N211" s="935">
        <v>0</v>
      </c>
      <c r="O211" s="935">
        <v>0</v>
      </c>
      <c r="P211" s="935">
        <v>0</v>
      </c>
      <c r="Q211" s="935">
        <v>0</v>
      </c>
      <c r="R211" s="935">
        <v>0</v>
      </c>
      <c r="S211" s="935">
        <v>0</v>
      </c>
      <c r="T211" s="935">
        <f t="shared" si="21"/>
        <v>0</v>
      </c>
    </row>
    <row r="212" spans="2:20" hidden="1" x14ac:dyDescent="0.2">
      <c r="B212" s="3" t="s">
        <v>247</v>
      </c>
      <c r="C212" s="935">
        <v>0</v>
      </c>
      <c r="D212" s="935">
        <v>0</v>
      </c>
      <c r="E212" s="935">
        <v>0</v>
      </c>
      <c r="F212" s="935">
        <v>0</v>
      </c>
      <c r="G212" s="935">
        <v>0</v>
      </c>
      <c r="H212" s="935">
        <v>0</v>
      </c>
      <c r="I212" s="935">
        <v>0</v>
      </c>
      <c r="J212" s="935">
        <v>0</v>
      </c>
      <c r="K212" s="935">
        <v>0</v>
      </c>
      <c r="L212" s="935">
        <v>0</v>
      </c>
      <c r="M212" s="935">
        <v>0</v>
      </c>
      <c r="N212" s="935">
        <v>0</v>
      </c>
      <c r="O212" s="935">
        <v>0</v>
      </c>
      <c r="P212" s="935">
        <v>0</v>
      </c>
      <c r="Q212" s="935">
        <v>0</v>
      </c>
      <c r="R212" s="935">
        <v>0</v>
      </c>
      <c r="S212" s="935">
        <v>0</v>
      </c>
      <c r="T212" s="935">
        <f t="shared" si="21"/>
        <v>0</v>
      </c>
    </row>
    <row r="213" spans="2:20" hidden="1" x14ac:dyDescent="0.2">
      <c r="B213" s="3" t="s">
        <v>248</v>
      </c>
      <c r="C213" s="935">
        <v>0</v>
      </c>
      <c r="D213" s="935">
        <v>0</v>
      </c>
      <c r="E213" s="935">
        <v>0</v>
      </c>
      <c r="F213" s="935">
        <v>0</v>
      </c>
      <c r="G213" s="935">
        <v>0</v>
      </c>
      <c r="H213" s="935">
        <v>0</v>
      </c>
      <c r="I213" s="935">
        <v>0</v>
      </c>
      <c r="J213" s="935">
        <v>0</v>
      </c>
      <c r="K213" s="935">
        <v>0</v>
      </c>
      <c r="L213" s="935">
        <v>0</v>
      </c>
      <c r="M213" s="935">
        <v>0</v>
      </c>
      <c r="N213" s="935">
        <v>0</v>
      </c>
      <c r="O213" s="935">
        <v>0</v>
      </c>
      <c r="P213" s="935">
        <v>0</v>
      </c>
      <c r="Q213" s="935">
        <v>0</v>
      </c>
      <c r="R213" s="935">
        <v>0</v>
      </c>
      <c r="S213" s="935">
        <v>0</v>
      </c>
      <c r="T213" s="935">
        <f t="shared" si="21"/>
        <v>0</v>
      </c>
    </row>
    <row r="214" spans="2:20" hidden="1" x14ac:dyDescent="0.2">
      <c r="B214" s="3" t="s">
        <v>249</v>
      </c>
      <c r="C214" s="935">
        <v>0</v>
      </c>
      <c r="D214" s="935">
        <v>0</v>
      </c>
      <c r="E214" s="935">
        <v>0</v>
      </c>
      <c r="F214" s="935">
        <v>0</v>
      </c>
      <c r="G214" s="935">
        <v>0</v>
      </c>
      <c r="H214" s="935">
        <v>0</v>
      </c>
      <c r="I214" s="935">
        <v>0</v>
      </c>
      <c r="J214" s="935">
        <v>0</v>
      </c>
      <c r="K214" s="935">
        <v>0</v>
      </c>
      <c r="L214" s="935">
        <v>0</v>
      </c>
      <c r="M214" s="935">
        <v>0</v>
      </c>
      <c r="N214" s="935">
        <v>0</v>
      </c>
      <c r="O214" s="935">
        <v>0</v>
      </c>
      <c r="P214" s="935">
        <v>0</v>
      </c>
      <c r="Q214" s="935">
        <v>0</v>
      </c>
      <c r="R214" s="935">
        <v>0</v>
      </c>
      <c r="S214" s="935">
        <v>0</v>
      </c>
      <c r="T214" s="935">
        <f t="shared" si="21"/>
        <v>0</v>
      </c>
    </row>
    <row r="215" spans="2:20" x14ac:dyDescent="0.2">
      <c r="B215" s="3" t="s">
        <v>250</v>
      </c>
      <c r="C215" s="935">
        <v>0</v>
      </c>
      <c r="D215" s="935">
        <v>0</v>
      </c>
      <c r="E215" s="935">
        <v>0</v>
      </c>
      <c r="F215" s="935">
        <v>0</v>
      </c>
      <c r="G215" s="935">
        <v>0</v>
      </c>
      <c r="H215" s="935">
        <v>0</v>
      </c>
      <c r="I215" s="935">
        <v>0</v>
      </c>
      <c r="J215" s="935">
        <v>0</v>
      </c>
      <c r="K215" s="935">
        <v>0</v>
      </c>
      <c r="L215" s="935">
        <v>0</v>
      </c>
      <c r="M215" s="935">
        <v>0</v>
      </c>
      <c r="N215" s="935">
        <v>0</v>
      </c>
      <c r="O215" s="935">
        <v>0</v>
      </c>
      <c r="P215" s="935">
        <v>0</v>
      </c>
      <c r="Q215" s="935">
        <v>11179819</v>
      </c>
      <c r="R215" s="935">
        <v>0</v>
      </c>
      <c r="S215" s="935">
        <v>0</v>
      </c>
      <c r="T215" s="935">
        <f t="shared" si="21"/>
        <v>11179819</v>
      </c>
    </row>
    <row r="216" spans="2:20" hidden="1" x14ac:dyDescent="0.2">
      <c r="B216" s="3" t="s">
        <v>251</v>
      </c>
      <c r="C216" s="935">
        <v>0</v>
      </c>
      <c r="D216" s="935">
        <v>0</v>
      </c>
      <c r="E216" s="935">
        <v>0</v>
      </c>
      <c r="F216" s="935">
        <v>0</v>
      </c>
      <c r="G216" s="935">
        <v>0</v>
      </c>
      <c r="H216" s="935">
        <v>0</v>
      </c>
      <c r="I216" s="935">
        <v>0</v>
      </c>
      <c r="J216" s="935">
        <v>0</v>
      </c>
      <c r="K216" s="935">
        <v>0</v>
      </c>
      <c r="L216" s="935">
        <v>0</v>
      </c>
      <c r="M216" s="935">
        <v>0</v>
      </c>
      <c r="N216" s="935">
        <v>0</v>
      </c>
      <c r="O216" s="935">
        <v>0</v>
      </c>
      <c r="P216" s="935">
        <v>0</v>
      </c>
      <c r="Q216" s="935">
        <v>0</v>
      </c>
      <c r="R216" s="935">
        <v>0</v>
      </c>
      <c r="S216" s="935">
        <v>0</v>
      </c>
      <c r="T216" s="935">
        <f t="shared" si="21"/>
        <v>0</v>
      </c>
    </row>
    <row r="217" spans="2:20" hidden="1" x14ac:dyDescent="0.2">
      <c r="B217" s="3" t="s">
        <v>252</v>
      </c>
      <c r="C217" s="935">
        <v>0</v>
      </c>
      <c r="D217" s="935">
        <v>0</v>
      </c>
      <c r="E217" s="935">
        <v>0</v>
      </c>
      <c r="F217" s="935">
        <v>0</v>
      </c>
      <c r="G217" s="935">
        <v>0</v>
      </c>
      <c r="H217" s="935">
        <v>0</v>
      </c>
      <c r="I217" s="935">
        <v>0</v>
      </c>
      <c r="J217" s="935">
        <v>0</v>
      </c>
      <c r="K217" s="935">
        <v>0</v>
      </c>
      <c r="L217" s="935">
        <v>0</v>
      </c>
      <c r="M217" s="935">
        <v>0</v>
      </c>
      <c r="N217" s="935">
        <v>0</v>
      </c>
      <c r="O217" s="935">
        <v>0</v>
      </c>
      <c r="P217" s="935">
        <v>0</v>
      </c>
      <c r="Q217" s="935">
        <v>0</v>
      </c>
      <c r="R217" s="935">
        <v>0</v>
      </c>
      <c r="S217" s="935">
        <v>0</v>
      </c>
      <c r="T217" s="935">
        <f t="shared" si="21"/>
        <v>0</v>
      </c>
    </row>
    <row r="218" spans="2:20" hidden="1" x14ac:dyDescent="0.2">
      <c r="B218" s="3" t="s">
        <v>253</v>
      </c>
      <c r="C218" s="935">
        <v>0</v>
      </c>
      <c r="D218" s="935">
        <v>0</v>
      </c>
      <c r="E218" s="935">
        <v>0</v>
      </c>
      <c r="F218" s="935">
        <v>0</v>
      </c>
      <c r="G218" s="935">
        <v>0</v>
      </c>
      <c r="H218" s="935">
        <v>0</v>
      </c>
      <c r="I218" s="935">
        <v>0</v>
      </c>
      <c r="J218" s="935">
        <v>0</v>
      </c>
      <c r="K218" s="935">
        <v>0</v>
      </c>
      <c r="L218" s="935">
        <v>0</v>
      </c>
      <c r="M218" s="935">
        <v>0</v>
      </c>
      <c r="N218" s="935">
        <v>0</v>
      </c>
      <c r="O218" s="935">
        <v>0</v>
      </c>
      <c r="P218" s="935">
        <v>0</v>
      </c>
      <c r="Q218" s="935">
        <v>0</v>
      </c>
      <c r="R218" s="935">
        <v>0</v>
      </c>
      <c r="S218" s="935">
        <v>0</v>
      </c>
      <c r="T218" s="935">
        <f t="shared" si="21"/>
        <v>0</v>
      </c>
    </row>
    <row r="219" spans="2:20" hidden="1" x14ac:dyDescent="0.2">
      <c r="B219" s="3" t="s">
        <v>254</v>
      </c>
      <c r="C219" s="935">
        <v>0</v>
      </c>
      <c r="D219" s="935">
        <v>0</v>
      </c>
      <c r="E219" s="935">
        <v>0</v>
      </c>
      <c r="F219" s="935">
        <v>0</v>
      </c>
      <c r="G219" s="935">
        <v>0</v>
      </c>
      <c r="H219" s="935">
        <v>0</v>
      </c>
      <c r="I219" s="935">
        <v>0</v>
      </c>
      <c r="J219" s="935">
        <v>0</v>
      </c>
      <c r="K219" s="935">
        <v>0</v>
      </c>
      <c r="L219" s="935">
        <v>0</v>
      </c>
      <c r="M219" s="935">
        <v>0</v>
      </c>
      <c r="N219" s="935">
        <v>0</v>
      </c>
      <c r="O219" s="935">
        <v>0</v>
      </c>
      <c r="P219" s="935">
        <v>0</v>
      </c>
      <c r="Q219" s="935">
        <v>0</v>
      </c>
      <c r="R219" s="935">
        <v>0</v>
      </c>
      <c r="S219" s="935">
        <v>0</v>
      </c>
      <c r="T219" s="935">
        <f t="shared" si="21"/>
        <v>0</v>
      </c>
    </row>
    <row r="220" spans="2:20" hidden="1" x14ac:dyDescent="0.2">
      <c r="B220" s="3" t="s">
        <v>255</v>
      </c>
      <c r="C220" s="935">
        <v>0</v>
      </c>
      <c r="D220" s="935">
        <v>0</v>
      </c>
      <c r="E220" s="935">
        <v>0</v>
      </c>
      <c r="F220" s="935">
        <v>0</v>
      </c>
      <c r="G220" s="935">
        <v>0</v>
      </c>
      <c r="H220" s="935">
        <v>0</v>
      </c>
      <c r="I220" s="935">
        <v>0</v>
      </c>
      <c r="J220" s="935">
        <v>0</v>
      </c>
      <c r="K220" s="935">
        <v>0</v>
      </c>
      <c r="L220" s="935">
        <v>0</v>
      </c>
      <c r="M220" s="935">
        <v>0</v>
      </c>
      <c r="N220" s="935">
        <v>0</v>
      </c>
      <c r="O220" s="935">
        <v>0</v>
      </c>
      <c r="P220" s="935">
        <v>0</v>
      </c>
      <c r="Q220" s="935">
        <v>0</v>
      </c>
      <c r="R220" s="935">
        <v>0</v>
      </c>
      <c r="S220" s="935">
        <v>0</v>
      </c>
      <c r="T220" s="935">
        <f t="shared" si="21"/>
        <v>0</v>
      </c>
    </row>
    <row r="221" spans="2:20" hidden="1" x14ac:dyDescent="0.2">
      <c r="B221" s="3" t="s">
        <v>256</v>
      </c>
      <c r="C221" s="935">
        <v>0</v>
      </c>
      <c r="D221" s="935">
        <v>0</v>
      </c>
      <c r="E221" s="935">
        <v>0</v>
      </c>
      <c r="F221" s="935">
        <v>0</v>
      </c>
      <c r="G221" s="935">
        <v>0</v>
      </c>
      <c r="H221" s="935">
        <v>0</v>
      </c>
      <c r="I221" s="935">
        <v>0</v>
      </c>
      <c r="J221" s="935">
        <v>0</v>
      </c>
      <c r="K221" s="935">
        <v>0</v>
      </c>
      <c r="L221" s="935">
        <v>0</v>
      </c>
      <c r="M221" s="935">
        <v>0</v>
      </c>
      <c r="N221" s="935">
        <v>0</v>
      </c>
      <c r="O221" s="935">
        <v>0</v>
      </c>
      <c r="P221" s="935">
        <v>0</v>
      </c>
      <c r="Q221" s="935">
        <v>0</v>
      </c>
      <c r="R221" s="935">
        <v>0</v>
      </c>
      <c r="S221" s="935">
        <v>0</v>
      </c>
      <c r="T221" s="935">
        <f t="shared" si="21"/>
        <v>0</v>
      </c>
    </row>
    <row r="222" spans="2:20" hidden="1" x14ac:dyDescent="0.2">
      <c r="B222" s="3" t="s">
        <v>257</v>
      </c>
      <c r="C222" s="935">
        <v>0</v>
      </c>
      <c r="D222" s="935">
        <v>0</v>
      </c>
      <c r="E222" s="935">
        <v>0</v>
      </c>
      <c r="F222" s="935">
        <v>0</v>
      </c>
      <c r="G222" s="935">
        <v>0</v>
      </c>
      <c r="H222" s="935">
        <v>0</v>
      </c>
      <c r="I222" s="935">
        <v>0</v>
      </c>
      <c r="J222" s="935">
        <v>0</v>
      </c>
      <c r="K222" s="935">
        <v>0</v>
      </c>
      <c r="L222" s="935">
        <v>0</v>
      </c>
      <c r="M222" s="935">
        <v>0</v>
      </c>
      <c r="N222" s="935">
        <v>0</v>
      </c>
      <c r="O222" s="935">
        <v>0</v>
      </c>
      <c r="P222" s="935">
        <v>0</v>
      </c>
      <c r="Q222" s="935">
        <v>0</v>
      </c>
      <c r="R222" s="935">
        <v>0</v>
      </c>
      <c r="S222" s="935">
        <v>0</v>
      </c>
      <c r="T222" s="935">
        <f t="shared" si="21"/>
        <v>0</v>
      </c>
    </row>
    <row r="223" spans="2:20" hidden="1" x14ac:dyDescent="0.2">
      <c r="B223" s="3" t="s">
        <v>258</v>
      </c>
      <c r="C223" s="935">
        <v>0</v>
      </c>
      <c r="D223" s="935">
        <v>0</v>
      </c>
      <c r="E223" s="935">
        <v>0</v>
      </c>
      <c r="F223" s="935">
        <v>0</v>
      </c>
      <c r="G223" s="935">
        <v>0</v>
      </c>
      <c r="H223" s="935">
        <v>0</v>
      </c>
      <c r="I223" s="935">
        <v>0</v>
      </c>
      <c r="J223" s="935">
        <v>0</v>
      </c>
      <c r="K223" s="935">
        <v>0</v>
      </c>
      <c r="L223" s="935">
        <v>0</v>
      </c>
      <c r="M223" s="935">
        <v>0</v>
      </c>
      <c r="N223" s="935">
        <v>0</v>
      </c>
      <c r="O223" s="935">
        <v>0</v>
      </c>
      <c r="P223" s="935">
        <v>0</v>
      </c>
      <c r="Q223" s="935">
        <v>0</v>
      </c>
      <c r="R223" s="935">
        <v>0</v>
      </c>
      <c r="S223" s="935">
        <v>0</v>
      </c>
      <c r="T223" s="935">
        <f t="shared" si="21"/>
        <v>0</v>
      </c>
    </row>
    <row r="224" spans="2:20" hidden="1" x14ac:dyDescent="0.2">
      <c r="B224" s="3" t="s">
        <v>259</v>
      </c>
      <c r="C224" s="935">
        <v>0</v>
      </c>
      <c r="D224" s="935">
        <v>0</v>
      </c>
      <c r="E224" s="935">
        <v>0</v>
      </c>
      <c r="F224" s="935">
        <v>0</v>
      </c>
      <c r="G224" s="935">
        <v>0</v>
      </c>
      <c r="H224" s="935">
        <v>0</v>
      </c>
      <c r="I224" s="935">
        <v>0</v>
      </c>
      <c r="J224" s="935">
        <v>0</v>
      </c>
      <c r="K224" s="935">
        <v>0</v>
      </c>
      <c r="L224" s="935">
        <v>0</v>
      </c>
      <c r="M224" s="935">
        <v>0</v>
      </c>
      <c r="N224" s="935">
        <v>0</v>
      </c>
      <c r="O224" s="935">
        <v>0</v>
      </c>
      <c r="P224" s="935">
        <v>0</v>
      </c>
      <c r="Q224" s="935">
        <v>0</v>
      </c>
      <c r="R224" s="935">
        <v>0</v>
      </c>
      <c r="S224" s="935">
        <v>0</v>
      </c>
      <c r="T224" s="935">
        <f t="shared" si="21"/>
        <v>0</v>
      </c>
    </row>
    <row r="225" spans="2:20" x14ac:dyDescent="0.2">
      <c r="B225" s="3" t="s">
        <v>260</v>
      </c>
      <c r="C225" s="935">
        <v>0</v>
      </c>
      <c r="D225" s="935">
        <v>0</v>
      </c>
      <c r="E225" s="935">
        <v>0</v>
      </c>
      <c r="F225" s="935">
        <v>0</v>
      </c>
      <c r="G225" s="935">
        <v>0</v>
      </c>
      <c r="H225" s="935">
        <v>0</v>
      </c>
      <c r="I225" s="935">
        <v>0</v>
      </c>
      <c r="J225" s="935">
        <v>0</v>
      </c>
      <c r="K225" s="935">
        <v>0</v>
      </c>
      <c r="L225" s="935">
        <v>0</v>
      </c>
      <c r="M225" s="935">
        <v>0</v>
      </c>
      <c r="N225" s="935">
        <v>0</v>
      </c>
      <c r="O225" s="935">
        <v>0</v>
      </c>
      <c r="P225" s="935">
        <v>0</v>
      </c>
      <c r="Q225" s="935">
        <v>0</v>
      </c>
      <c r="R225" s="935">
        <v>830551</v>
      </c>
      <c r="S225" s="935">
        <v>0</v>
      </c>
      <c r="T225" s="935">
        <f t="shared" si="21"/>
        <v>830551</v>
      </c>
    </row>
    <row r="226" spans="2:20" x14ac:dyDescent="0.2">
      <c r="T226" s="933">
        <f t="shared" si="21"/>
        <v>0</v>
      </c>
    </row>
  </sheetData>
  <pageMargins left="0.7" right="0.7" top="0.75" bottom="0.75" header="0.3" footer="0.3"/>
  <pageSetup scale="40" orientation="portrait" r:id="rId1"/>
  <colBreaks count="1" manualBreakCount="1">
    <brk id="11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76431-C352-45D2-BB1A-C797DBF68510}">
  <sheetPr>
    <tabColor rgb="FFFF0000"/>
  </sheetPr>
  <dimension ref="A1:I85"/>
  <sheetViews>
    <sheetView showGridLines="0" zoomScale="70" zoomScaleNormal="7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62" customWidth="1"/>
    <col min="2" max="2" width="12" style="62" customWidth="1"/>
    <col min="3" max="3" width="55.7109375" style="60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52" style="77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706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707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498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>
        <v>0</v>
      </c>
      <c r="I7" s="498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8407188</v>
      </c>
      <c r="I8" s="541" t="s">
        <v>708</v>
      </c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>
        <v>0</v>
      </c>
      <c r="I9" s="498"/>
    </row>
    <row r="10" spans="1:9" hidden="1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>
        <v>0</v>
      </c>
      <c r="I10" s="498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91">
        <v>0</v>
      </c>
      <c r="I11" s="498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/>
      <c r="G12" s="90">
        <v>0</v>
      </c>
      <c r="H12" s="91">
        <v>360000</v>
      </c>
      <c r="I12" s="541" t="s">
        <v>709</v>
      </c>
    </row>
    <row r="13" spans="1:9" hidden="1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0</v>
      </c>
      <c r="G13" s="90">
        <v>0</v>
      </c>
      <c r="H13" s="91">
        <v>0</v>
      </c>
      <c r="I13" s="498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>
        <v>0</v>
      </c>
      <c r="I14" s="498"/>
    </row>
    <row r="15" spans="1:9" ht="28.5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91">
        <v>770048</v>
      </c>
      <c r="I15" s="541" t="s">
        <v>710</v>
      </c>
    </row>
    <row r="16" spans="1:9" hidden="1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0</v>
      </c>
      <c r="G16" s="90">
        <v>0</v>
      </c>
      <c r="H16" s="91">
        <v>0</v>
      </c>
      <c r="I16" s="498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>
        <v>0</v>
      </c>
      <c r="I17" s="498"/>
    </row>
    <row r="18" spans="1:9" hidden="1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0</v>
      </c>
      <c r="G18" s="90">
        <v>0</v>
      </c>
      <c r="H18" s="91">
        <v>0</v>
      </c>
      <c r="I18" s="498"/>
    </row>
    <row r="19" spans="1:9" hidden="1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>
        <v>0</v>
      </c>
      <c r="G19" s="90">
        <v>0</v>
      </c>
      <c r="H19" s="91">
        <v>0</v>
      </c>
      <c r="I19" s="498"/>
    </row>
    <row r="20" spans="1:9" ht="28.5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100000</v>
      </c>
      <c r="G20" s="90">
        <v>0</v>
      </c>
      <c r="H20" s="91">
        <v>1132499</v>
      </c>
      <c r="I20" s="541" t="s">
        <v>711</v>
      </c>
    </row>
    <row r="21" spans="1:9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/>
      <c r="G21" s="90">
        <v>0</v>
      </c>
      <c r="H21" s="91">
        <v>150000</v>
      </c>
      <c r="I21" s="541" t="s">
        <v>712</v>
      </c>
    </row>
    <row r="22" spans="1:9" hidden="1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0</v>
      </c>
      <c r="G22" s="90">
        <v>0</v>
      </c>
      <c r="H22" s="91">
        <v>0</v>
      </c>
      <c r="I22" s="498"/>
    </row>
    <row r="23" spans="1:9" hidden="1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>
        <v>0</v>
      </c>
      <c r="G23" s="90">
        <v>0</v>
      </c>
      <c r="H23" s="91">
        <v>0</v>
      </c>
      <c r="I23" s="498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>
        <v>0</v>
      </c>
      <c r="I24" s="498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>
        <v>0</v>
      </c>
      <c r="I25" s="498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>
        <v>0</v>
      </c>
      <c r="I26" s="498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>
        <v>0</v>
      </c>
      <c r="I27" s="498"/>
    </row>
    <row r="28" spans="1:9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/>
      <c r="G28" s="90">
        <v>0</v>
      </c>
      <c r="H28" s="91">
        <v>10210000</v>
      </c>
      <c r="I28" s="541" t="s">
        <v>713</v>
      </c>
    </row>
    <row r="29" spans="1:9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/>
      <c r="G29" s="90">
        <v>0</v>
      </c>
      <c r="H29" s="91">
        <v>96488</v>
      </c>
      <c r="I29" s="541" t="s">
        <v>714</v>
      </c>
    </row>
    <row r="30" spans="1:9" hidden="1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0</v>
      </c>
      <c r="G30" s="90">
        <v>0</v>
      </c>
      <c r="H30" s="91">
        <v>0</v>
      </c>
      <c r="I30" s="498"/>
    </row>
    <row r="31" spans="1:9" hidden="1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0</v>
      </c>
      <c r="G31" s="90">
        <v>0</v>
      </c>
      <c r="H31" s="91">
        <v>0</v>
      </c>
      <c r="I31" s="498"/>
    </row>
    <row r="32" spans="1:9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100000</v>
      </c>
      <c r="G32" s="90">
        <v>0</v>
      </c>
      <c r="H32" s="91">
        <v>0</v>
      </c>
      <c r="I32" s="498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200000</v>
      </c>
      <c r="G33" s="104">
        <f>SUM(G6:G32)</f>
        <v>0</v>
      </c>
      <c r="H33" s="106">
        <f>SUM(H6:H32)</f>
        <v>21126223</v>
      </c>
      <c r="I33" s="542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505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>
        <v>0</v>
      </c>
      <c r="G35" s="90">
        <v>0</v>
      </c>
      <c r="H35" s="91">
        <v>0</v>
      </c>
      <c r="I35" s="498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40262805.045130111</v>
      </c>
      <c r="G36" s="90">
        <v>0</v>
      </c>
      <c r="H36" s="91">
        <v>0</v>
      </c>
      <c r="I36" s="50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>
        <v>0</v>
      </c>
      <c r="G37" s="90">
        <v>0</v>
      </c>
      <c r="H37" s="91">
        <v>0</v>
      </c>
      <c r="I37" s="498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7256105.2265147343</v>
      </c>
      <c r="G38" s="90">
        <v>0</v>
      </c>
      <c r="H38" s="91">
        <v>0</v>
      </c>
      <c r="I38" s="50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757959.6197401589</v>
      </c>
      <c r="G39" s="90">
        <v>0</v>
      </c>
      <c r="H39" s="91">
        <v>0</v>
      </c>
      <c r="I39" s="498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1395015.0083261705</v>
      </c>
      <c r="G40" s="90">
        <v>0</v>
      </c>
      <c r="H40" s="91">
        <v>0</v>
      </c>
      <c r="I40" s="498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>
        <v>0</v>
      </c>
      <c r="G41" s="90">
        <v>0</v>
      </c>
      <c r="H41" s="91">
        <v>0</v>
      </c>
      <c r="I41" s="498"/>
    </row>
    <row r="42" spans="1:9" s="130" customFormat="1" ht="28.5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/>
      <c r="G42" s="306">
        <v>0</v>
      </c>
      <c r="H42" s="307">
        <v>1922848</v>
      </c>
      <c r="I42" s="543" t="s">
        <v>715</v>
      </c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>
        <v>0</v>
      </c>
      <c r="G43" s="90">
        <v>0</v>
      </c>
      <c r="H43" s="91">
        <v>0</v>
      </c>
      <c r="I43" s="498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6177430</v>
      </c>
      <c r="G44" s="90">
        <v>0</v>
      </c>
      <c r="H44" s="91">
        <v>0</v>
      </c>
      <c r="I44" s="498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/>
      <c r="G45" s="90">
        <v>0</v>
      </c>
      <c r="H45" s="91">
        <v>227971</v>
      </c>
      <c r="I45" s="541" t="s">
        <v>716</v>
      </c>
    </row>
    <row r="46" spans="1:9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>
        <v>0</v>
      </c>
      <c r="G46" s="90">
        <v>0</v>
      </c>
      <c r="H46" s="91">
        <v>0</v>
      </c>
      <c r="I46" s="498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>
        <v>0</v>
      </c>
      <c r="G47" s="90">
        <v>0</v>
      </c>
      <c r="H47" s="91">
        <v>0</v>
      </c>
      <c r="I47" s="501"/>
    </row>
    <row r="48" spans="1:9" hidden="1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>
        <v>0</v>
      </c>
      <c r="G48" s="90">
        <v>0</v>
      </c>
      <c r="H48" s="91">
        <v>0</v>
      </c>
      <c r="I48" s="498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55849314.899711177</v>
      </c>
      <c r="G49" s="104">
        <f>SUM(G34:G48)</f>
        <v>0</v>
      </c>
      <c r="H49" s="106">
        <f>SUM(H34:H48)</f>
        <v>2150819</v>
      </c>
      <c r="I49" s="542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505"/>
    </row>
    <row r="51" spans="1:9" hidden="1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0</v>
      </c>
      <c r="G51" s="143">
        <v>0</v>
      </c>
      <c r="H51" s="111">
        <v>0</v>
      </c>
      <c r="I51" s="498"/>
    </row>
    <row r="52" spans="1:9" hidden="1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>
        <v>0</v>
      </c>
      <c r="G52" s="143">
        <v>0</v>
      </c>
      <c r="H52" s="111">
        <v>0</v>
      </c>
      <c r="I52" s="498"/>
    </row>
    <row r="53" spans="1:9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>
        <v>0</v>
      </c>
      <c r="G53" s="143">
        <v>0</v>
      </c>
      <c r="H53" s="111">
        <v>72220</v>
      </c>
      <c r="I53" s="541" t="s">
        <v>717</v>
      </c>
    </row>
    <row r="54" spans="1:9" ht="42.75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v>0</v>
      </c>
      <c r="G54" s="143">
        <v>0</v>
      </c>
      <c r="H54" s="111">
        <v>8697946.5700000003</v>
      </c>
      <c r="I54" s="541" t="s">
        <v>718</v>
      </c>
    </row>
    <row r="55" spans="1:9" ht="28.5" x14ac:dyDescent="0.2">
      <c r="A55" s="145" t="s">
        <v>397</v>
      </c>
      <c r="B55" s="142"/>
      <c r="C55" s="95" t="s">
        <v>719</v>
      </c>
      <c r="D55" s="143">
        <v>0</v>
      </c>
      <c r="E55" s="88">
        <v>0</v>
      </c>
      <c r="F55" s="144">
        <v>0</v>
      </c>
      <c r="G55" s="143">
        <v>0</v>
      </c>
      <c r="H55" s="111">
        <v>230000</v>
      </c>
      <c r="I55" s="541" t="s">
        <v>720</v>
      </c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>
        <v>0</v>
      </c>
      <c r="G56" s="143">
        <v>0</v>
      </c>
      <c r="H56" s="111">
        <v>0</v>
      </c>
      <c r="I56" s="498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0</v>
      </c>
      <c r="G57" s="104">
        <f t="shared" si="0"/>
        <v>0</v>
      </c>
      <c r="H57" s="106">
        <f t="shared" si="0"/>
        <v>9000166.5700000003</v>
      </c>
      <c r="I57" s="542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505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>
        <v>0</v>
      </c>
      <c r="G59" s="143">
        <v>0</v>
      </c>
      <c r="H59" s="111">
        <v>0</v>
      </c>
      <c r="I59" s="498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>
        <v>0</v>
      </c>
      <c r="G60" s="143">
        <v>0</v>
      </c>
      <c r="H60" s="111">
        <v>0</v>
      </c>
      <c r="I60" s="498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>
        <v>0</v>
      </c>
      <c r="G61" s="143">
        <v>0</v>
      </c>
      <c r="H61" s="111">
        <v>0</v>
      </c>
      <c r="I61" s="498"/>
    </row>
    <row r="62" spans="1:9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0</v>
      </c>
      <c r="G62" s="143">
        <v>0</v>
      </c>
      <c r="H62" s="111">
        <v>0</v>
      </c>
      <c r="I62" s="498"/>
    </row>
    <row r="63" spans="1:9" hidden="1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>
        <v>0</v>
      </c>
      <c r="G63" s="143">
        <v>0</v>
      </c>
      <c r="H63" s="111">
        <v>0</v>
      </c>
      <c r="I63" s="498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498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498"/>
    </row>
    <row r="66" spans="1:9" hidden="1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>
        <v>0</v>
      </c>
      <c r="G66" s="143">
        <v>0</v>
      </c>
      <c r="H66" s="111">
        <v>0</v>
      </c>
      <c r="I66" s="498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0</v>
      </c>
      <c r="G67" s="157">
        <f>SUM(G58:G66)</f>
        <v>0</v>
      </c>
      <c r="H67" s="159">
        <f>SUM(H58:H66)</f>
        <v>0</v>
      </c>
      <c r="I67" s="498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498"/>
    </row>
    <row r="69" spans="1:9" hidden="1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0</v>
      </c>
      <c r="G69" s="143">
        <v>0</v>
      </c>
      <c r="H69" s="111">
        <v>0</v>
      </c>
      <c r="I69" s="498"/>
    </row>
    <row r="70" spans="1:9" ht="28.5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18005325</v>
      </c>
      <c r="G70" s="143"/>
      <c r="H70" s="111">
        <v>55638355</v>
      </c>
      <c r="I70" s="541" t="s">
        <v>721</v>
      </c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18005325</v>
      </c>
      <c r="G71" s="157">
        <f t="shared" si="1"/>
        <v>0</v>
      </c>
      <c r="H71" s="159">
        <f>SUM(H69:H70)</f>
        <v>55638355</v>
      </c>
      <c r="I71" s="498"/>
    </row>
    <row r="72" spans="1:9" hidden="1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498"/>
    </row>
    <row r="73" spans="1:9" hidden="1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498"/>
    </row>
    <row r="74" spans="1:9" ht="15.75" thickBot="1" x14ac:dyDescent="0.3">
      <c r="A74" s="169" t="s">
        <v>423</v>
      </c>
      <c r="B74" s="170"/>
      <c r="C74" s="171"/>
      <c r="D74" s="172">
        <f>'PCFP - All Revenue AA-1 R -13'!D33+'PCFP - All Revenue AA-1 R -13'!D49+'PCFP - All Revenue AA-1 R -13'!D57+'PCFP - All Revenue AA-1 R -13'!D71+'PCFP - All Revenue AA-1 R -13'!D67</f>
        <v>0</v>
      </c>
      <c r="E74" s="172">
        <f>'PCFP - All Revenue AA-1 R -13'!E33+'PCFP - All Revenue AA-1 R -13'!E49+'PCFP - All Revenue AA-1 R -13'!E57+'PCFP - All Revenue AA-1 R -13'!E71+'PCFP - All Revenue AA-1 R -13'!E67</f>
        <v>0</v>
      </c>
      <c r="F74" s="173">
        <f>'PCFP - All Revenue AA-1 R -13'!F33+'PCFP - All Revenue AA-1 R -13'!F49+'PCFP - All Revenue AA-1 R -13'!F57+'PCFP - All Revenue AA-1 R -13'!F71+'PCFP - All Revenue AA-1 R -13'!F67</f>
        <v>74054639.899711177</v>
      </c>
      <c r="G74" s="172">
        <f>'PCFP - All Revenue AA-1 R -13'!G33+'PCFP - All Revenue AA-1 R -13'!G49+'PCFP - All Revenue AA-1 R -13'!G57+'PCFP - All Revenue AA-1 R -13'!G71+'PCFP - All Revenue AA-1 R -13'!G67</f>
        <v>0</v>
      </c>
      <c r="H74" s="174">
        <f>'PCFP - All Revenue AA-1 R -13'!H33+'PCFP - All Revenue AA-1 R -13'!H49+'PCFP - All Revenue AA-1 R -13'!H57+'PCFP - All Revenue AA-1 R -13'!H71+'PCFP - All Revenue AA-1 R -13'!H67</f>
        <v>87915563.569999993</v>
      </c>
      <c r="I74" s="498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44">
        <v>9158251</v>
      </c>
      <c r="G75" s="143"/>
      <c r="H75" s="111">
        <v>0</v>
      </c>
      <c r="I75" s="498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44"/>
      <c r="G76" s="143"/>
      <c r="H76" s="111">
        <v>0</v>
      </c>
      <c r="I76" s="498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44"/>
      <c r="G77" s="143"/>
      <c r="H77" s="111">
        <v>0</v>
      </c>
      <c r="I77" s="498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498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7">
        <f>SUM(F75:F78)</f>
        <v>9158251</v>
      </c>
      <c r="G79" s="187">
        <f t="shared" si="2"/>
        <v>0</v>
      </c>
      <c r="H79" s="187">
        <f>SUM(H75:H78)</f>
        <v>0</v>
      </c>
    </row>
    <row r="80" spans="1:9" x14ac:dyDescent="0.2">
      <c r="A80" s="189"/>
      <c r="B80" s="189"/>
      <c r="C80" s="190"/>
      <c r="D80" s="190"/>
      <c r="E80" s="190"/>
      <c r="F80" s="190"/>
      <c r="G80" s="190"/>
      <c r="H80" s="208"/>
    </row>
    <row r="81" spans="1:8" x14ac:dyDescent="0.2">
      <c r="A81" s="94"/>
      <c r="B81" s="94"/>
      <c r="C81" s="191" t="str">
        <f>C1</f>
        <v>Nye County School District</v>
      </c>
      <c r="D81" s="190" t="s">
        <v>428</v>
      </c>
      <c r="E81" s="190"/>
      <c r="F81" s="190"/>
      <c r="G81" s="192" t="str">
        <f>"Budget Fiscal Year "&amp;TEXT('[13]Form 1'!$C$136, "mm/dd/yy")</f>
        <v>Budget Fiscal Year 2019-2020</v>
      </c>
      <c r="H81" s="190"/>
    </row>
    <row r="82" spans="1:8" x14ac:dyDescent="0.2">
      <c r="A82" s="98"/>
      <c r="B82" s="98"/>
      <c r="C82" s="193" t="s">
        <v>429</v>
      </c>
      <c r="D82" s="189" t="s">
        <v>430</v>
      </c>
      <c r="E82" s="190"/>
      <c r="F82" s="194"/>
      <c r="G82" s="192" t="s">
        <v>431</v>
      </c>
      <c r="H82" s="190"/>
    </row>
    <row r="83" spans="1:8" x14ac:dyDescent="0.2">
      <c r="A83" s="189"/>
      <c r="B83" s="189"/>
      <c r="C83" s="190"/>
      <c r="D83" s="190"/>
      <c r="E83" s="190"/>
      <c r="F83" s="195"/>
      <c r="G83" s="196"/>
      <c r="H83" s="197"/>
    </row>
    <row r="84" spans="1:8" x14ac:dyDescent="0.2">
      <c r="A84" s="189"/>
      <c r="B84" s="189"/>
      <c r="C84" s="190"/>
      <c r="D84" s="190"/>
      <c r="E84" s="190"/>
      <c r="H84" s="192"/>
    </row>
    <row r="85" spans="1:8" x14ac:dyDescent="0.2">
      <c r="A85" s="189"/>
      <c r="B85" s="189"/>
      <c r="C85" s="190"/>
      <c r="D85" s="190"/>
      <c r="E85" s="190"/>
      <c r="H85" s="192"/>
    </row>
  </sheetData>
  <pageMargins left="0.2" right="0.2" top="0.25" bottom="0.25" header="0.05" footer="0.05"/>
  <pageSetup paperSize="5" scale="67" fitToHeight="2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45A28-AAE1-416E-A5B3-13C19AC3493D}">
  <sheetPr>
    <tabColor rgb="FFFFFF00"/>
    <pageSetUpPr fitToPage="1"/>
  </sheetPr>
  <dimension ref="A1:L153"/>
  <sheetViews>
    <sheetView showGridLines="0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82" sqref="K82:K119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710937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47.7109375" style="60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14536204</v>
      </c>
      <c r="D3" s="89">
        <v>6499897</v>
      </c>
      <c r="E3" s="89">
        <v>3614674</v>
      </c>
      <c r="F3" s="89">
        <v>0</v>
      </c>
      <c r="G3" s="89">
        <v>0</v>
      </c>
      <c r="H3" s="89">
        <v>0</v>
      </c>
      <c r="I3" s="214">
        <v>0</v>
      </c>
      <c r="J3" s="89">
        <f>SUM(C3:I3)</f>
        <v>24650775</v>
      </c>
      <c r="K3" s="92"/>
    </row>
    <row r="4" spans="1:11" hidden="1" x14ac:dyDescent="0.2">
      <c r="A4" s="116">
        <v>200</v>
      </c>
      <c r="B4" s="95" t="s">
        <v>135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214">
        <v>0</v>
      </c>
      <c r="J4" s="89">
        <f t="shared" ref="J4:J67" si="0">SUM(C4:I4)</f>
        <v>0</v>
      </c>
      <c r="K4" s="92"/>
    </row>
    <row r="5" spans="1:11" hidden="1" x14ac:dyDescent="0.2">
      <c r="A5" s="210" t="s">
        <v>10</v>
      </c>
      <c r="B5" s="211" t="s">
        <v>136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214">
        <v>0</v>
      </c>
      <c r="J5" s="89">
        <f t="shared" si="0"/>
        <v>0</v>
      </c>
      <c r="K5" s="212"/>
    </row>
    <row r="6" spans="1:11" hidden="1" x14ac:dyDescent="0.2">
      <c r="A6" s="116">
        <v>270</v>
      </c>
      <c r="B6" s="95" t="s">
        <v>137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214">
        <v>0</v>
      </c>
      <c r="J6" s="89">
        <f t="shared" si="0"/>
        <v>0</v>
      </c>
      <c r="K6" s="92"/>
    </row>
    <row r="7" spans="1:11" hidden="1" x14ac:dyDescent="0.2">
      <c r="A7" s="210" t="s">
        <v>10</v>
      </c>
      <c r="B7" s="211" t="s">
        <v>138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214">
        <v>0</v>
      </c>
      <c r="J7" s="89">
        <f t="shared" si="0"/>
        <v>0</v>
      </c>
      <c r="K7" s="212"/>
    </row>
    <row r="8" spans="1:11" x14ac:dyDescent="0.2">
      <c r="A8" s="116">
        <v>300</v>
      </c>
      <c r="B8" s="95" t="s">
        <v>139</v>
      </c>
      <c r="C8" s="89">
        <v>575105</v>
      </c>
      <c r="D8" s="89">
        <v>299481</v>
      </c>
      <c r="E8" s="89">
        <v>5300</v>
      </c>
      <c r="F8" s="89">
        <v>0</v>
      </c>
      <c r="G8" s="89">
        <v>0</v>
      </c>
      <c r="H8" s="89">
        <v>0</v>
      </c>
      <c r="I8" s="214">
        <v>0</v>
      </c>
      <c r="J8" s="89">
        <f t="shared" si="0"/>
        <v>879886</v>
      </c>
      <c r="K8" s="92"/>
    </row>
    <row r="9" spans="1:11" x14ac:dyDescent="0.2">
      <c r="A9" s="116">
        <v>400</v>
      </c>
      <c r="B9" s="95" t="s">
        <v>140</v>
      </c>
      <c r="C9" s="89">
        <v>113030</v>
      </c>
      <c r="D9" s="89">
        <v>36830</v>
      </c>
      <c r="E9" s="89">
        <v>0</v>
      </c>
      <c r="F9" s="89">
        <v>0</v>
      </c>
      <c r="G9" s="89">
        <v>0</v>
      </c>
      <c r="H9" s="89">
        <v>0</v>
      </c>
      <c r="I9" s="214">
        <v>0</v>
      </c>
      <c r="J9" s="89">
        <f t="shared" si="0"/>
        <v>149860</v>
      </c>
      <c r="K9" s="92"/>
    </row>
    <row r="10" spans="1:11" hidden="1" x14ac:dyDescent="0.2">
      <c r="A10" s="210" t="s">
        <v>10</v>
      </c>
      <c r="B10" s="211" t="s">
        <v>141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214">
        <v>0</v>
      </c>
      <c r="J10" s="89">
        <f t="shared" si="0"/>
        <v>0</v>
      </c>
      <c r="K10" s="212"/>
    </row>
    <row r="11" spans="1:11" hidden="1" x14ac:dyDescent="0.2">
      <c r="A11" s="210" t="s">
        <v>10</v>
      </c>
      <c r="B11" s="211" t="s">
        <v>142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214">
        <v>0</v>
      </c>
      <c r="J11" s="89">
        <f t="shared" si="0"/>
        <v>0</v>
      </c>
      <c r="K11" s="212"/>
    </row>
    <row r="12" spans="1:11" hidden="1" x14ac:dyDescent="0.2">
      <c r="A12" s="116">
        <v>440</v>
      </c>
      <c r="B12" s="95" t="s">
        <v>143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214">
        <v>0</v>
      </c>
      <c r="J12" s="89">
        <f t="shared" si="0"/>
        <v>0</v>
      </c>
      <c r="K12" s="92"/>
    </row>
    <row r="13" spans="1:11" hidden="1" x14ac:dyDescent="0.2">
      <c r="A13" s="116">
        <v>500</v>
      </c>
      <c r="B13" s="95" t="s">
        <v>144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214">
        <v>0</v>
      </c>
      <c r="J13" s="89">
        <f t="shared" si="0"/>
        <v>0</v>
      </c>
      <c r="K13" s="92"/>
    </row>
    <row r="14" spans="1:11" hidden="1" x14ac:dyDescent="0.2">
      <c r="A14" s="116">
        <v>600</v>
      </c>
      <c r="B14" s="95" t="s">
        <v>145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214">
        <v>0</v>
      </c>
      <c r="J14" s="89">
        <f t="shared" si="0"/>
        <v>0</v>
      </c>
      <c r="K14" s="92"/>
    </row>
    <row r="15" spans="1:11" x14ac:dyDescent="0.2">
      <c r="A15" s="116">
        <v>800</v>
      </c>
      <c r="B15" s="95" t="s">
        <v>146</v>
      </c>
      <c r="C15" s="89">
        <v>0</v>
      </c>
      <c r="D15" s="89">
        <v>0</v>
      </c>
      <c r="E15" s="89">
        <v>3000</v>
      </c>
      <c r="F15" s="89">
        <v>0</v>
      </c>
      <c r="G15" s="89">
        <v>0</v>
      </c>
      <c r="H15" s="89">
        <v>0</v>
      </c>
      <c r="I15" s="214">
        <v>0</v>
      </c>
      <c r="J15" s="89">
        <f t="shared" si="0"/>
        <v>3000</v>
      </c>
      <c r="K15" s="92"/>
    </row>
    <row r="16" spans="1:11" x14ac:dyDescent="0.2">
      <c r="A16" s="116">
        <v>910</v>
      </c>
      <c r="B16" s="95" t="s">
        <v>147</v>
      </c>
      <c r="C16" s="89">
        <v>153562.5</v>
      </c>
      <c r="D16" s="89">
        <v>5851.5</v>
      </c>
      <c r="E16" s="89">
        <f>12000+700+5000</f>
        <v>17700</v>
      </c>
      <c r="F16" s="89">
        <v>0</v>
      </c>
      <c r="G16" s="89">
        <v>0</v>
      </c>
      <c r="H16" s="89">
        <v>0</v>
      </c>
      <c r="I16" s="214">
        <v>0</v>
      </c>
      <c r="J16" s="89">
        <f t="shared" si="0"/>
        <v>177114</v>
      </c>
      <c r="K16" s="92"/>
    </row>
    <row r="17" spans="1:11" x14ac:dyDescent="0.2">
      <c r="A17" s="116">
        <v>920</v>
      </c>
      <c r="B17" s="95" t="s">
        <v>148</v>
      </c>
      <c r="C17" s="89">
        <f>472296+80144</f>
        <v>552440</v>
      </c>
      <c r="D17" s="89">
        <f>20575+6799</f>
        <v>27374</v>
      </c>
      <c r="E17" s="89">
        <f>183050+78598+5700+1000+20000+38000</f>
        <v>326348</v>
      </c>
      <c r="F17" s="89">
        <v>0</v>
      </c>
      <c r="G17" s="89">
        <v>0</v>
      </c>
      <c r="H17" s="89">
        <v>0</v>
      </c>
      <c r="I17" s="214">
        <v>0</v>
      </c>
      <c r="J17" s="89">
        <f t="shared" si="0"/>
        <v>906162</v>
      </c>
      <c r="K17" s="92"/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hidden="1" x14ac:dyDescent="0.25">
      <c r="A20" s="215" t="s">
        <v>443</v>
      </c>
      <c r="B20" s="216" t="s">
        <v>444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0</v>
      </c>
      <c r="K20" s="92"/>
    </row>
    <row r="21" spans="1:11" x14ac:dyDescent="0.2">
      <c r="A21" s="116">
        <v>2100</v>
      </c>
      <c r="B21" s="95" t="s">
        <v>151</v>
      </c>
      <c r="C21" s="89">
        <v>1309743</v>
      </c>
      <c r="D21" s="89">
        <v>633536</v>
      </c>
      <c r="E21" s="89">
        <v>55647</v>
      </c>
      <c r="F21" s="89">
        <v>0</v>
      </c>
      <c r="G21" s="89">
        <v>0</v>
      </c>
      <c r="H21" s="89">
        <v>0</v>
      </c>
      <c r="I21" s="214">
        <v>0</v>
      </c>
      <c r="J21" s="89">
        <f t="shared" si="0"/>
        <v>1998926</v>
      </c>
      <c r="K21" s="92"/>
    </row>
    <row r="22" spans="1:11" x14ac:dyDescent="0.2">
      <c r="A22" s="116">
        <v>2200</v>
      </c>
      <c r="B22" s="95" t="s">
        <v>152</v>
      </c>
      <c r="C22" s="89">
        <v>543147</v>
      </c>
      <c r="D22" s="89">
        <v>236834</v>
      </c>
      <c r="E22" s="89">
        <v>233133</v>
      </c>
      <c r="F22" s="89">
        <v>0</v>
      </c>
      <c r="G22" s="89">
        <v>0</v>
      </c>
      <c r="H22" s="89">
        <v>0</v>
      </c>
      <c r="I22" s="214">
        <v>0</v>
      </c>
      <c r="J22" s="89">
        <f t="shared" si="0"/>
        <v>1013114</v>
      </c>
      <c r="K22" s="92"/>
    </row>
    <row r="23" spans="1:11" x14ac:dyDescent="0.2">
      <c r="A23" s="116">
        <v>2300</v>
      </c>
      <c r="B23" s="95" t="s">
        <v>153</v>
      </c>
      <c r="C23" s="89">
        <v>782812</v>
      </c>
      <c r="D23" s="89">
        <v>405497</v>
      </c>
      <c r="E23" s="89">
        <v>408070</v>
      </c>
      <c r="F23" s="89">
        <v>0</v>
      </c>
      <c r="G23" s="89">
        <v>0</v>
      </c>
      <c r="H23" s="89">
        <v>0</v>
      </c>
      <c r="I23" s="214">
        <v>0</v>
      </c>
      <c r="J23" s="89">
        <f t="shared" si="0"/>
        <v>1596379</v>
      </c>
      <c r="K23" s="92"/>
    </row>
    <row r="24" spans="1:11" x14ac:dyDescent="0.2">
      <c r="A24" s="116">
        <v>2400</v>
      </c>
      <c r="B24" s="95" t="s">
        <v>154</v>
      </c>
      <c r="C24" s="89">
        <v>3185287</v>
      </c>
      <c r="D24" s="89">
        <v>1459325</v>
      </c>
      <c r="E24" s="89">
        <v>172019</v>
      </c>
      <c r="F24" s="89">
        <v>0</v>
      </c>
      <c r="G24" s="89">
        <v>0</v>
      </c>
      <c r="H24" s="89">
        <v>0</v>
      </c>
      <c r="I24" s="214">
        <v>0</v>
      </c>
      <c r="J24" s="89">
        <f t="shared" si="0"/>
        <v>4816631</v>
      </c>
      <c r="K24" s="92"/>
    </row>
    <row r="25" spans="1:11" x14ac:dyDescent="0.2">
      <c r="A25" s="116">
        <v>2500</v>
      </c>
      <c r="B25" s="95" t="s">
        <v>155</v>
      </c>
      <c r="C25" s="89">
        <v>1596899</v>
      </c>
      <c r="D25" s="89">
        <v>1043485</v>
      </c>
      <c r="E25" s="89">
        <v>768159</v>
      </c>
      <c r="F25" s="89">
        <v>0</v>
      </c>
      <c r="G25" s="89">
        <v>0</v>
      </c>
      <c r="H25" s="89">
        <v>0</v>
      </c>
      <c r="I25" s="214">
        <v>0</v>
      </c>
      <c r="J25" s="89">
        <f t="shared" si="0"/>
        <v>3408543</v>
      </c>
      <c r="K25" s="92"/>
    </row>
    <row r="26" spans="1:11" x14ac:dyDescent="0.2">
      <c r="A26" s="116">
        <v>2600</v>
      </c>
      <c r="B26" s="95" t="s">
        <v>156</v>
      </c>
      <c r="C26" s="89">
        <v>2367131</v>
      </c>
      <c r="D26" s="89">
        <v>1193297</v>
      </c>
      <c r="E26" s="89">
        <v>4128097</v>
      </c>
      <c r="F26" s="89">
        <v>0</v>
      </c>
      <c r="G26" s="89">
        <v>0</v>
      </c>
      <c r="H26" s="89">
        <v>0</v>
      </c>
      <c r="I26" s="214">
        <v>0</v>
      </c>
      <c r="J26" s="89">
        <f t="shared" si="0"/>
        <v>7688525</v>
      </c>
      <c r="K26" s="92"/>
    </row>
    <row r="27" spans="1:11" x14ac:dyDescent="0.2">
      <c r="A27" s="217">
        <v>2700</v>
      </c>
      <c r="B27" s="211" t="s">
        <v>157</v>
      </c>
      <c r="C27" s="89">
        <v>1563498</v>
      </c>
      <c r="D27" s="89">
        <v>751266</v>
      </c>
      <c r="E27" s="89">
        <v>1145381</v>
      </c>
      <c r="F27" s="89">
        <v>0</v>
      </c>
      <c r="G27" s="89">
        <v>0</v>
      </c>
      <c r="H27" s="89">
        <v>0</v>
      </c>
      <c r="I27" s="214">
        <v>0</v>
      </c>
      <c r="J27" s="89">
        <f t="shared" si="0"/>
        <v>3460145</v>
      </c>
      <c r="K27" s="212"/>
    </row>
    <row r="28" spans="1:11" hidden="1" x14ac:dyDescent="0.2">
      <c r="A28" s="116">
        <v>2900</v>
      </c>
      <c r="B28" s="95" t="s">
        <v>158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214">
        <v>0</v>
      </c>
      <c r="J28" s="89">
        <f t="shared" si="0"/>
        <v>0</v>
      </c>
      <c r="K28" s="92"/>
    </row>
    <row r="29" spans="1:11" s="204" customFormat="1" ht="15" hidden="1" x14ac:dyDescent="0.25">
      <c r="A29" s="218">
        <v>3000</v>
      </c>
      <c r="B29" s="216" t="s">
        <v>159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214">
        <v>0</v>
      </c>
      <c r="J29" s="89">
        <f t="shared" si="0"/>
        <v>0</v>
      </c>
      <c r="K29" s="219"/>
    </row>
    <row r="30" spans="1:11" hidden="1" x14ac:dyDescent="0.2">
      <c r="A30" s="217">
        <v>3100</v>
      </c>
      <c r="B30" s="211" t="s">
        <v>160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214">
        <v>0</v>
      </c>
      <c r="J30" s="89">
        <f t="shared" si="0"/>
        <v>0</v>
      </c>
      <c r="K30" s="212"/>
    </row>
    <row r="31" spans="1:11" hidden="1" x14ac:dyDescent="0.2">
      <c r="A31" s="116">
        <v>3200</v>
      </c>
      <c r="B31" s="95" t="s">
        <v>161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214">
        <v>0</v>
      </c>
      <c r="J31" s="89">
        <f t="shared" si="0"/>
        <v>0</v>
      </c>
      <c r="K31" s="92"/>
    </row>
    <row r="32" spans="1:11" hidden="1" x14ac:dyDescent="0.2">
      <c r="A32" s="116">
        <v>3300</v>
      </c>
      <c r="B32" s="95" t="s">
        <v>162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214">
        <v>0</v>
      </c>
      <c r="J32" s="89">
        <f t="shared" si="0"/>
        <v>0</v>
      </c>
      <c r="K32" s="92"/>
    </row>
    <row r="33" spans="1:11" s="223" customFormat="1" hidden="1" x14ac:dyDescent="0.2">
      <c r="A33" s="220">
        <v>4100</v>
      </c>
      <c r="B33" s="221" t="s">
        <v>163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214">
        <v>0</v>
      </c>
      <c r="J33" s="89">
        <f t="shared" si="0"/>
        <v>0</v>
      </c>
      <c r="K33" s="222"/>
    </row>
    <row r="34" spans="1:11" s="225" customFormat="1" ht="15" x14ac:dyDescent="0.25">
      <c r="A34" s="220">
        <v>4000</v>
      </c>
      <c r="B34" s="221" t="s">
        <v>164</v>
      </c>
      <c r="C34" s="89">
        <v>0</v>
      </c>
      <c r="D34" s="89">
        <v>0</v>
      </c>
      <c r="E34" s="89">
        <v>2000000</v>
      </c>
      <c r="F34" s="89">
        <v>0</v>
      </c>
      <c r="G34" s="89">
        <v>0</v>
      </c>
      <c r="H34" s="89">
        <v>0</v>
      </c>
      <c r="I34" s="214">
        <v>0</v>
      </c>
      <c r="J34" s="89">
        <f t="shared" si="0"/>
        <v>2000000</v>
      </c>
      <c r="K34" s="224"/>
    </row>
    <row r="35" spans="1:11" s="223" customFormat="1" hidden="1" x14ac:dyDescent="0.2">
      <c r="A35" s="220">
        <v>4200</v>
      </c>
      <c r="B35" s="221" t="s">
        <v>165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214">
        <v>0</v>
      </c>
      <c r="J35" s="89">
        <f t="shared" si="0"/>
        <v>0</v>
      </c>
      <c r="K35" s="222"/>
    </row>
    <row r="36" spans="1:11" s="223" customFormat="1" hidden="1" x14ac:dyDescent="0.2">
      <c r="A36" s="220">
        <v>4300</v>
      </c>
      <c r="B36" s="221" t="s">
        <v>166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214">
        <v>0</v>
      </c>
      <c r="J36" s="89">
        <f t="shared" si="0"/>
        <v>0</v>
      </c>
      <c r="K36" s="222"/>
    </row>
    <row r="37" spans="1:11" s="223" customFormat="1" ht="28.5" hidden="1" x14ac:dyDescent="0.2">
      <c r="A37" s="220">
        <v>4400</v>
      </c>
      <c r="B37" s="221" t="s">
        <v>167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214">
        <v>0</v>
      </c>
      <c r="J37" s="89">
        <f t="shared" si="0"/>
        <v>0</v>
      </c>
      <c r="K37" s="222"/>
    </row>
    <row r="38" spans="1:11" s="223" customFormat="1" hidden="1" x14ac:dyDescent="0.2">
      <c r="A38" s="220">
        <v>4500</v>
      </c>
      <c r="B38" s="221" t="s">
        <v>168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214">
        <v>0</v>
      </c>
      <c r="J38" s="89">
        <f t="shared" si="0"/>
        <v>0</v>
      </c>
      <c r="K38" s="222"/>
    </row>
    <row r="39" spans="1:11" s="223" customFormat="1" hidden="1" x14ac:dyDescent="0.2">
      <c r="A39" s="220">
        <v>4600</v>
      </c>
      <c r="B39" s="221" t="s">
        <v>169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214">
        <v>0</v>
      </c>
      <c r="J39" s="89">
        <f t="shared" si="0"/>
        <v>0</v>
      </c>
      <c r="K39" s="222"/>
    </row>
    <row r="40" spans="1:11" s="223" customFormat="1" hidden="1" x14ac:dyDescent="0.2">
      <c r="A40" s="220">
        <v>4700</v>
      </c>
      <c r="B40" s="221" t="s">
        <v>170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214">
        <v>0</v>
      </c>
      <c r="J40" s="89">
        <f t="shared" si="0"/>
        <v>0</v>
      </c>
      <c r="K40" s="222"/>
    </row>
    <row r="41" spans="1:11" s="223" customFormat="1" hidden="1" x14ac:dyDescent="0.2">
      <c r="A41" s="220">
        <v>4900</v>
      </c>
      <c r="B41" s="221" t="s">
        <v>171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214">
        <v>0</v>
      </c>
      <c r="J41" s="89">
        <f t="shared" si="0"/>
        <v>0</v>
      </c>
      <c r="K41" s="222"/>
    </row>
    <row r="42" spans="1:11" hidden="1" x14ac:dyDescent="0.2">
      <c r="A42" s="220">
        <v>5000</v>
      </c>
      <c r="B42" s="226" t="s">
        <v>172</v>
      </c>
      <c r="C42" s="89">
        <v>0</v>
      </c>
      <c r="D42" s="89">
        <v>0</v>
      </c>
      <c r="E42" s="89"/>
      <c r="F42" s="89">
        <v>0</v>
      </c>
      <c r="G42" s="89">
        <v>0</v>
      </c>
      <c r="H42" s="89">
        <v>0</v>
      </c>
      <c r="I42" s="214">
        <v>0</v>
      </c>
      <c r="J42" s="89">
        <f t="shared" si="0"/>
        <v>0</v>
      </c>
      <c r="K42" s="92"/>
    </row>
    <row r="43" spans="1:11" x14ac:dyDescent="0.2">
      <c r="A43" s="220">
        <v>5000</v>
      </c>
      <c r="B43" s="226" t="s">
        <v>173</v>
      </c>
      <c r="C43" s="89">
        <v>0</v>
      </c>
      <c r="D43" s="89">
        <v>0</v>
      </c>
      <c r="E43" s="89">
        <v>176000</v>
      </c>
      <c r="F43" s="89">
        <v>0</v>
      </c>
      <c r="G43" s="89">
        <v>0</v>
      </c>
      <c r="H43" s="89">
        <v>0</v>
      </c>
      <c r="I43" s="214">
        <v>0</v>
      </c>
      <c r="J43" s="89">
        <f t="shared" si="0"/>
        <v>176000</v>
      </c>
      <c r="K43" s="92"/>
    </row>
    <row r="44" spans="1:11" hidden="1" x14ac:dyDescent="0.2">
      <c r="A44" s="220">
        <v>6100</v>
      </c>
      <c r="B44" s="226" t="s">
        <v>174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214">
        <v>0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89">
        <v>0</v>
      </c>
      <c r="D45" s="89">
        <v>0</v>
      </c>
      <c r="E45" s="89"/>
      <c r="F45" s="89">
        <v>9158251</v>
      </c>
      <c r="G45" s="89">
        <v>0</v>
      </c>
      <c r="H45" s="89">
        <v>0</v>
      </c>
      <c r="I45" s="214">
        <v>0</v>
      </c>
      <c r="J45" s="89">
        <f t="shared" si="0"/>
        <v>9158251</v>
      </c>
      <c r="K45" s="92"/>
    </row>
    <row r="46" spans="1:11" hidden="1" x14ac:dyDescent="0.2">
      <c r="A46" s="116">
        <v>6300</v>
      </c>
      <c r="B46" s="95" t="s">
        <v>176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214">
        <v>0</v>
      </c>
      <c r="J46" s="89">
        <f t="shared" si="0"/>
        <v>0</v>
      </c>
      <c r="K46" s="92"/>
    </row>
    <row r="47" spans="1:11" ht="15" thickBot="1" x14ac:dyDescent="0.25">
      <c r="A47" s="116">
        <v>8000</v>
      </c>
      <c r="B47" s="227" t="s">
        <v>177</v>
      </c>
      <c r="C47" s="89">
        <v>0</v>
      </c>
      <c r="D47" s="89">
        <v>0</v>
      </c>
      <c r="E47" s="89"/>
      <c r="F47" s="89">
        <v>0</v>
      </c>
      <c r="G47" s="89">
        <v>0</v>
      </c>
      <c r="H47" s="89">
        <v>7506182</v>
      </c>
      <c r="I47" s="214">
        <v>0</v>
      </c>
      <c r="J47" s="89">
        <f t="shared" si="0"/>
        <v>7506182</v>
      </c>
      <c r="K47" s="92"/>
    </row>
    <row r="48" spans="1:11" ht="15" hidden="1" thickBot="1" x14ac:dyDescent="0.25">
      <c r="A48" s="116"/>
      <c r="B48" s="227" t="s">
        <v>445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214">
        <v>0</v>
      </c>
      <c r="J48" s="89">
        <f t="shared" si="0"/>
        <v>0</v>
      </c>
      <c r="K48" s="92"/>
    </row>
    <row r="49" spans="1:11" ht="15" hidden="1" thickBot="1" x14ac:dyDescent="0.25">
      <c r="A49" s="229"/>
      <c r="B49" s="100" t="s">
        <v>446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214">
        <v>0</v>
      </c>
      <c r="J49" s="89">
        <f t="shared" si="0"/>
        <v>0</v>
      </c>
      <c r="K49" s="92"/>
    </row>
    <row r="50" spans="1:11" ht="15" hidden="1" thickBot="1" x14ac:dyDescent="0.25">
      <c r="A50" s="230"/>
      <c r="B50" s="231" t="s">
        <v>255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316">
        <v>0</v>
      </c>
      <c r="J50" s="232">
        <f t="shared" si="0"/>
        <v>0</v>
      </c>
      <c r="K50" s="233"/>
    </row>
    <row r="51" spans="1:11" ht="15.75" thickBot="1" x14ac:dyDescent="0.3">
      <c r="A51" s="234"/>
      <c r="B51" s="235" t="s">
        <v>447</v>
      </c>
      <c r="C51" s="236">
        <f>SUM(C2:C50)</f>
        <v>27278858.5</v>
      </c>
      <c r="D51" s="236">
        <f>SUM(D2:D50)</f>
        <v>12592673.5</v>
      </c>
      <c r="E51" s="236">
        <f>SUM(E2:E50)</f>
        <v>13053528</v>
      </c>
      <c r="F51" s="236">
        <f t="shared" ref="F51:I51" si="1">SUM(F2:F50)</f>
        <v>9158251</v>
      </c>
      <c r="G51" s="236">
        <f t="shared" si="1"/>
        <v>0</v>
      </c>
      <c r="H51" s="236">
        <f t="shared" si="1"/>
        <v>7506182</v>
      </c>
      <c r="I51" s="237">
        <f t="shared" si="1"/>
        <v>0</v>
      </c>
      <c r="J51" s="236">
        <f t="shared" si="0"/>
        <v>69589493</v>
      </c>
      <c r="K51" s="239"/>
    </row>
    <row r="52" spans="1:11" ht="15.75" thickBot="1" x14ac:dyDescent="0.3">
      <c r="A52" s="218" t="s">
        <v>448</v>
      </c>
      <c r="B52" s="95"/>
      <c r="C52" s="240">
        <v>0</v>
      </c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241">
        <v>53861449</v>
      </c>
      <c r="J52" s="144">
        <f t="shared" si="0"/>
        <v>53861449</v>
      </c>
      <c r="K52" s="219" t="s">
        <v>708</v>
      </c>
    </row>
    <row r="53" spans="1:11" ht="15.75" hidden="1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233"/>
    </row>
    <row r="54" spans="1:11" ht="20.25" customHeight="1" thickBot="1" x14ac:dyDescent="0.3">
      <c r="A54" s="245" t="s">
        <v>454</v>
      </c>
      <c r="B54" s="246"/>
      <c r="C54" s="247">
        <f>SUM(C51:C53)</f>
        <v>27278858.5</v>
      </c>
      <c r="D54" s="247">
        <f t="shared" ref="D54:H54" si="2">SUM(D51:D53)</f>
        <v>12592673.5</v>
      </c>
      <c r="E54" s="247">
        <f t="shared" si="2"/>
        <v>13053528</v>
      </c>
      <c r="F54" s="247">
        <f t="shared" si="2"/>
        <v>9158251</v>
      </c>
      <c r="G54" s="247">
        <f t="shared" si="2"/>
        <v>0</v>
      </c>
      <c r="H54" s="247">
        <f t="shared" si="2"/>
        <v>7506182</v>
      </c>
      <c r="I54" s="248">
        <f>SUM(I51:I53)</f>
        <v>53861449</v>
      </c>
      <c r="J54" s="236">
        <f>SUM(C54:I54)</f>
        <v>123450942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hidden="1" x14ac:dyDescent="0.25">
      <c r="A56" s="116"/>
      <c r="B56" s="95" t="s">
        <v>179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214">
        <v>0</v>
      </c>
      <c r="J56" s="89">
        <f t="shared" si="0"/>
        <v>0</v>
      </c>
      <c r="K56" s="249"/>
    </row>
    <row r="57" spans="1:11" ht="15" x14ac:dyDescent="0.25">
      <c r="A57" s="116"/>
      <c r="B57" s="95" t="s">
        <v>145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214">
        <v>201469</v>
      </c>
      <c r="J57" s="89">
        <f t="shared" si="0"/>
        <v>201469</v>
      </c>
      <c r="K57" s="219" t="s">
        <v>722</v>
      </c>
    </row>
    <row r="58" spans="1:11" ht="15" x14ac:dyDescent="0.25">
      <c r="A58" s="116"/>
      <c r="B58" s="95" t="s">
        <v>180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214">
        <v>26502</v>
      </c>
      <c r="J58" s="89">
        <f t="shared" si="0"/>
        <v>26502</v>
      </c>
      <c r="K58" s="219" t="s">
        <v>722</v>
      </c>
    </row>
    <row r="59" spans="1:11" ht="15" hidden="1" x14ac:dyDescent="0.25">
      <c r="A59" s="116"/>
      <c r="B59" s="95" t="s">
        <v>181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214"/>
      <c r="J59" s="89">
        <f t="shared" si="0"/>
        <v>0</v>
      </c>
      <c r="K59" s="249"/>
    </row>
    <row r="60" spans="1:11" ht="15" x14ac:dyDescent="0.25">
      <c r="A60" s="116"/>
      <c r="B60" s="95" t="s">
        <v>182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214">
        <v>2877722</v>
      </c>
      <c r="J60" s="89">
        <f t="shared" si="0"/>
        <v>2877722</v>
      </c>
      <c r="K60" s="219" t="s">
        <v>723</v>
      </c>
    </row>
    <row r="61" spans="1:11" ht="15" hidden="1" x14ac:dyDescent="0.25">
      <c r="A61" s="251"/>
      <c r="B61" s="100" t="s">
        <v>183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214">
        <v>0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184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214">
        <v>0</v>
      </c>
      <c r="J62" s="89">
        <f t="shared" si="0"/>
        <v>0</v>
      </c>
      <c r="K62" s="249"/>
    </row>
    <row r="63" spans="1:11" ht="15" x14ac:dyDescent="0.25">
      <c r="A63" s="251"/>
      <c r="B63" s="100" t="s">
        <v>185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214">
        <v>485062</v>
      </c>
      <c r="J63" s="89">
        <f t="shared" si="0"/>
        <v>485062</v>
      </c>
      <c r="K63" s="219" t="s">
        <v>724</v>
      </c>
    </row>
    <row r="64" spans="1:11" ht="15" hidden="1" x14ac:dyDescent="0.25">
      <c r="A64" s="251"/>
      <c r="B64" s="100" t="s">
        <v>186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214">
        <v>0</v>
      </c>
      <c r="J64" s="89">
        <f t="shared" si="0"/>
        <v>0</v>
      </c>
      <c r="K64" s="249"/>
    </row>
    <row r="65" spans="1:11" ht="15" hidden="1" x14ac:dyDescent="0.25">
      <c r="A65" s="251"/>
      <c r="B65" s="100" t="s">
        <v>187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214">
        <v>0</v>
      </c>
      <c r="J65" s="89">
        <f t="shared" si="0"/>
        <v>0</v>
      </c>
      <c r="K65" s="249"/>
    </row>
    <row r="66" spans="1:11" ht="15" hidden="1" x14ac:dyDescent="0.25">
      <c r="A66" s="251"/>
      <c r="B66" s="100" t="s">
        <v>188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214">
        <v>0</v>
      </c>
      <c r="J66" s="89">
        <f t="shared" si="0"/>
        <v>0</v>
      </c>
      <c r="K66" s="249"/>
    </row>
    <row r="67" spans="1:11" ht="15" hidden="1" x14ac:dyDescent="0.25">
      <c r="A67" s="251"/>
      <c r="B67" s="100" t="s">
        <v>189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214">
        <v>0</v>
      </c>
      <c r="J67" s="89">
        <f t="shared" si="0"/>
        <v>0</v>
      </c>
      <c r="K67" s="249"/>
    </row>
    <row r="68" spans="1:11" ht="15" x14ac:dyDescent="0.25">
      <c r="A68" s="116"/>
      <c r="B68" s="95" t="s">
        <v>190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214">
        <v>1685658</v>
      </c>
      <c r="J68" s="89">
        <f t="shared" ref="J68:J131" si="3">SUM(C68:I68)</f>
        <v>1685658</v>
      </c>
      <c r="K68" s="219" t="s">
        <v>725</v>
      </c>
    </row>
    <row r="69" spans="1:11" ht="15" x14ac:dyDescent="0.25">
      <c r="A69" s="116"/>
      <c r="B69" s="95" t="s">
        <v>191</v>
      </c>
      <c r="C69" s="89">
        <v>490047</v>
      </c>
      <c r="D69" s="89">
        <v>213219</v>
      </c>
      <c r="E69" s="89">
        <v>0</v>
      </c>
      <c r="F69" s="89">
        <v>0</v>
      </c>
      <c r="G69" s="89">
        <v>0</v>
      </c>
      <c r="H69" s="89">
        <v>0</v>
      </c>
      <c r="I69" s="214">
        <v>0</v>
      </c>
      <c r="J69" s="89">
        <f t="shared" si="3"/>
        <v>703266</v>
      </c>
      <c r="K69" s="249"/>
    </row>
    <row r="70" spans="1:11" ht="15" hidden="1" x14ac:dyDescent="0.25">
      <c r="A70" s="116"/>
      <c r="B70" s="95" t="s">
        <v>192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214">
        <v>0</v>
      </c>
      <c r="J70" s="89">
        <f t="shared" si="3"/>
        <v>0</v>
      </c>
      <c r="K70" s="249"/>
    </row>
    <row r="71" spans="1:11" ht="15" hidden="1" x14ac:dyDescent="0.25">
      <c r="A71" s="116"/>
      <c r="B71" s="95" t="s">
        <v>193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214">
        <v>0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198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214">
        <v>0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200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201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214">
        <v>0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202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214">
        <v>0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203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214">
        <v>0</v>
      </c>
      <c r="J81" s="89">
        <f t="shared" si="3"/>
        <v>0</v>
      </c>
      <c r="K81" s="249"/>
    </row>
    <row r="82" spans="1:12" s="130" customFormat="1" ht="42.75" x14ac:dyDescent="0.2">
      <c r="A82" s="544"/>
      <c r="B82" s="125" t="s">
        <v>204</v>
      </c>
      <c r="C82" s="305">
        <v>0</v>
      </c>
      <c r="D82" s="305">
        <v>0</v>
      </c>
      <c r="E82" s="305">
        <v>0</v>
      </c>
      <c r="F82" s="305">
        <v>0</v>
      </c>
      <c r="G82" s="305">
        <v>0</v>
      </c>
      <c r="H82" s="305">
        <v>0</v>
      </c>
      <c r="I82" s="545">
        <v>7911139.4000000004</v>
      </c>
      <c r="J82" s="305">
        <f t="shared" si="3"/>
        <v>7911139.4000000004</v>
      </c>
      <c r="K82" s="76" t="s">
        <v>726</v>
      </c>
    </row>
    <row r="83" spans="1:12" ht="15" hidden="1" x14ac:dyDescent="0.25">
      <c r="A83" s="116"/>
      <c r="B83" s="95" t="s">
        <v>205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214">
        <v>0</v>
      </c>
      <c r="J83" s="89">
        <f t="shared" si="3"/>
        <v>0</v>
      </c>
      <c r="K83" s="219"/>
    </row>
    <row r="84" spans="1:12" ht="15" x14ac:dyDescent="0.25">
      <c r="A84" s="116"/>
      <c r="B84" s="95" t="s">
        <v>206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214">
        <v>4332759</v>
      </c>
      <c r="J84" s="89">
        <f t="shared" si="3"/>
        <v>4332759</v>
      </c>
      <c r="K84" s="219" t="s">
        <v>712</v>
      </c>
    </row>
    <row r="85" spans="1:12" hidden="1" x14ac:dyDescent="0.2">
      <c r="A85" s="116"/>
      <c r="B85" s="95" t="s">
        <v>207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214">
        <v>0</v>
      </c>
      <c r="J85" s="89">
        <f t="shared" si="3"/>
        <v>0</v>
      </c>
      <c r="K85" s="960"/>
    </row>
    <row r="86" spans="1:12" ht="15" hidden="1" x14ac:dyDescent="0.25">
      <c r="A86" s="116"/>
      <c r="B86" s="95" t="s">
        <v>208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214">
        <v>0</v>
      </c>
      <c r="J86" s="89">
        <f t="shared" si="3"/>
        <v>0</v>
      </c>
      <c r="K86" s="219"/>
    </row>
    <row r="87" spans="1:12" ht="15" hidden="1" x14ac:dyDescent="0.25">
      <c r="A87" s="116"/>
      <c r="B87" s="95" t="s">
        <v>209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214">
        <v>0</v>
      </c>
      <c r="J87" s="89">
        <f t="shared" si="3"/>
        <v>0</v>
      </c>
      <c r="K87" s="219"/>
    </row>
    <row r="88" spans="1:12" ht="15" hidden="1" x14ac:dyDescent="0.25">
      <c r="A88" s="116"/>
      <c r="B88" s="95" t="s">
        <v>210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214">
        <v>0</v>
      </c>
      <c r="J88" s="89">
        <f t="shared" si="3"/>
        <v>0</v>
      </c>
      <c r="K88" s="219"/>
      <c r="L88" s="77"/>
    </row>
    <row r="89" spans="1:12" ht="15" hidden="1" x14ac:dyDescent="0.25">
      <c r="A89" s="116"/>
      <c r="B89" s="95" t="s">
        <v>211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214">
        <v>0</v>
      </c>
      <c r="J89" s="89">
        <f t="shared" si="3"/>
        <v>0</v>
      </c>
      <c r="K89" s="219"/>
      <c r="L89" s="77"/>
    </row>
    <row r="90" spans="1:12" ht="15" hidden="1" x14ac:dyDescent="0.25">
      <c r="A90" s="116"/>
      <c r="B90" s="95" t="s">
        <v>212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214">
        <v>0</v>
      </c>
      <c r="J90" s="89">
        <f t="shared" si="3"/>
        <v>0</v>
      </c>
      <c r="K90" s="219"/>
      <c r="L90" s="77"/>
    </row>
    <row r="91" spans="1:12" ht="15" hidden="1" x14ac:dyDescent="0.25">
      <c r="A91" s="116"/>
      <c r="B91" s="95" t="s">
        <v>213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214">
        <v>0</v>
      </c>
      <c r="J91" s="89">
        <f t="shared" si="3"/>
        <v>0</v>
      </c>
      <c r="K91" s="219"/>
      <c r="L91" s="77"/>
    </row>
    <row r="92" spans="1:12" hidden="1" x14ac:dyDescent="0.2">
      <c r="A92" s="116"/>
      <c r="B92" s="95" t="s">
        <v>214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214">
        <v>0</v>
      </c>
      <c r="J92" s="89">
        <f t="shared" si="3"/>
        <v>0</v>
      </c>
      <c r="K92" s="960"/>
    </row>
    <row r="93" spans="1:12" hidden="1" x14ac:dyDescent="0.2">
      <c r="A93" s="116"/>
      <c r="B93" s="95" t="s">
        <v>215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214">
        <v>0</v>
      </c>
      <c r="J93" s="89">
        <f t="shared" si="3"/>
        <v>0</v>
      </c>
      <c r="K93" s="960"/>
    </row>
    <row r="94" spans="1:12" hidden="1" x14ac:dyDescent="0.2">
      <c r="A94" s="116"/>
      <c r="B94" s="95" t="s">
        <v>216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214">
        <v>0</v>
      </c>
      <c r="J94" s="89">
        <f t="shared" si="3"/>
        <v>0</v>
      </c>
      <c r="K94" s="960"/>
    </row>
    <row r="95" spans="1:12" hidden="1" x14ac:dyDescent="0.2">
      <c r="A95" s="116"/>
      <c r="B95" s="95" t="s">
        <v>217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214">
        <v>0</v>
      </c>
      <c r="J95" s="89">
        <f t="shared" si="3"/>
        <v>0</v>
      </c>
      <c r="K95" s="960"/>
    </row>
    <row r="96" spans="1:12" hidden="1" x14ac:dyDescent="0.2">
      <c r="A96" s="116"/>
      <c r="B96" s="95" t="s">
        <v>218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214">
        <v>0</v>
      </c>
      <c r="J96" s="89">
        <f t="shared" si="3"/>
        <v>0</v>
      </c>
      <c r="K96" s="960"/>
    </row>
    <row r="97" spans="1:11" hidden="1" x14ac:dyDescent="0.2">
      <c r="A97" s="116"/>
      <c r="B97" s="95" t="s">
        <v>219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214">
        <v>0</v>
      </c>
      <c r="J97" s="89">
        <f t="shared" si="3"/>
        <v>0</v>
      </c>
      <c r="K97" s="960"/>
    </row>
    <row r="98" spans="1:11" ht="15" hidden="1" x14ac:dyDescent="0.25">
      <c r="A98" s="251"/>
      <c r="B98" s="100" t="s">
        <v>220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214">
        <v>0</v>
      </c>
      <c r="J98" s="89">
        <f t="shared" si="3"/>
        <v>0</v>
      </c>
      <c r="K98" s="219"/>
    </row>
    <row r="99" spans="1:11" ht="15" x14ac:dyDescent="0.25">
      <c r="A99" s="251"/>
      <c r="B99" s="100" t="s">
        <v>221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214">
        <v>503560</v>
      </c>
      <c r="J99" s="89">
        <f t="shared" si="3"/>
        <v>503560</v>
      </c>
      <c r="K99" s="219" t="s">
        <v>727</v>
      </c>
    </row>
    <row r="100" spans="1:11" hidden="1" x14ac:dyDescent="0.2">
      <c r="A100" s="210" t="s">
        <v>10</v>
      </c>
      <c r="B100" s="211" t="s">
        <v>142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214">
        <v>0</v>
      </c>
      <c r="J100" s="89">
        <f t="shared" si="3"/>
        <v>0</v>
      </c>
      <c r="K100" s="255"/>
    </row>
    <row r="101" spans="1:11" hidden="1" x14ac:dyDescent="0.2">
      <c r="A101" s="210" t="s">
        <v>10</v>
      </c>
      <c r="B101" s="211" t="s">
        <v>141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33</v>
      </c>
      <c r="B102" s="211" t="s">
        <v>222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hidden="1" x14ac:dyDescent="0.2">
      <c r="A103" s="210" t="s">
        <v>10</v>
      </c>
      <c r="B103" s="211" t="s">
        <v>138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0</v>
      </c>
      <c r="J103" s="89">
        <f t="shared" si="3"/>
        <v>0</v>
      </c>
      <c r="K103" s="255"/>
    </row>
    <row r="104" spans="1:11" x14ac:dyDescent="0.2">
      <c r="A104" s="210" t="s">
        <v>10</v>
      </c>
      <c r="B104" s="211" t="s">
        <v>136</v>
      </c>
      <c r="C104" s="89">
        <v>8318656</v>
      </c>
      <c r="D104" s="89">
        <v>3938999</v>
      </c>
      <c r="E104" s="89">
        <v>278599</v>
      </c>
      <c r="F104" s="89">
        <v>0</v>
      </c>
      <c r="G104" s="89">
        <v>0</v>
      </c>
      <c r="H104" s="89">
        <v>0</v>
      </c>
      <c r="I104" s="214">
        <v>0</v>
      </c>
      <c r="J104" s="89">
        <f t="shared" si="3"/>
        <v>12536254</v>
      </c>
      <c r="K104" s="255"/>
    </row>
    <row r="105" spans="1:11" hidden="1" x14ac:dyDescent="0.2">
      <c r="A105" s="257"/>
      <c r="B105" s="95" t="s">
        <v>223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960"/>
    </row>
    <row r="106" spans="1:11" hidden="1" x14ac:dyDescent="0.2">
      <c r="A106" s="257"/>
      <c r="B106" s="95" t="s">
        <v>224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960"/>
    </row>
    <row r="107" spans="1:11" hidden="1" x14ac:dyDescent="0.2">
      <c r="A107" s="257"/>
      <c r="B107" s="95" t="s">
        <v>225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214">
        <v>0</v>
      </c>
      <c r="J107" s="89">
        <f t="shared" si="3"/>
        <v>0</v>
      </c>
      <c r="K107" s="960"/>
    </row>
    <row r="108" spans="1:11" hidden="1" x14ac:dyDescent="0.2">
      <c r="A108" s="257"/>
      <c r="B108" s="95" t="s">
        <v>226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960"/>
    </row>
    <row r="109" spans="1:11" ht="15" x14ac:dyDescent="0.25">
      <c r="A109" s="116"/>
      <c r="B109" s="95" t="s">
        <v>227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1876314</v>
      </c>
      <c r="J109" s="89">
        <f t="shared" si="3"/>
        <v>1876314</v>
      </c>
      <c r="K109" s="219" t="s">
        <v>709</v>
      </c>
    </row>
    <row r="110" spans="1:11" ht="15" hidden="1" x14ac:dyDescent="0.25">
      <c r="A110" s="116"/>
      <c r="B110" s="95" t="s">
        <v>228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214">
        <v>0</v>
      </c>
      <c r="J110" s="89">
        <f t="shared" si="3"/>
        <v>0</v>
      </c>
      <c r="K110" s="219"/>
    </row>
    <row r="111" spans="1:11" ht="15" hidden="1" x14ac:dyDescent="0.25">
      <c r="A111" s="116"/>
      <c r="B111" s="95" t="s">
        <v>229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214">
        <v>0</v>
      </c>
      <c r="J111" s="89">
        <f t="shared" si="3"/>
        <v>0</v>
      </c>
      <c r="K111" s="219"/>
    </row>
    <row r="112" spans="1:11" ht="15" hidden="1" x14ac:dyDescent="0.25">
      <c r="A112" s="116"/>
      <c r="B112" s="95" t="s">
        <v>230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19"/>
    </row>
    <row r="113" spans="1:11" ht="15" hidden="1" x14ac:dyDescent="0.25">
      <c r="A113" s="116"/>
      <c r="B113" s="95" t="s">
        <v>231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19"/>
    </row>
    <row r="114" spans="1:11" ht="15" hidden="1" x14ac:dyDescent="0.25">
      <c r="A114" s="116"/>
      <c r="B114" s="95" t="s">
        <v>232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0</v>
      </c>
      <c r="J114" s="89">
        <f t="shared" si="3"/>
        <v>0</v>
      </c>
      <c r="K114" s="219"/>
    </row>
    <row r="115" spans="1:11" ht="15" hidden="1" x14ac:dyDescent="0.25">
      <c r="A115" s="116"/>
      <c r="B115" s="95" t="s">
        <v>233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0</v>
      </c>
      <c r="K115" s="219"/>
    </row>
    <row r="116" spans="1:11" ht="15" hidden="1" x14ac:dyDescent="0.25">
      <c r="A116" s="116"/>
      <c r="B116" s="95" t="s">
        <v>234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19"/>
    </row>
    <row r="117" spans="1:11" ht="15" hidden="1" x14ac:dyDescent="0.25">
      <c r="A117" s="116"/>
      <c r="B117" s="95" t="s">
        <v>9</v>
      </c>
      <c r="C117" s="89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214">
        <v>0</v>
      </c>
      <c r="J117" s="89">
        <f t="shared" si="3"/>
        <v>0</v>
      </c>
      <c r="K117" s="219"/>
    </row>
    <row r="118" spans="1:11" ht="15" hidden="1" x14ac:dyDescent="0.25">
      <c r="A118" s="116"/>
      <c r="B118" s="95" t="s">
        <v>235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214">
        <v>0</v>
      </c>
      <c r="J118" s="89">
        <f t="shared" si="3"/>
        <v>0</v>
      </c>
      <c r="K118" s="219"/>
    </row>
    <row r="119" spans="1:11" ht="28.5" x14ac:dyDescent="0.2">
      <c r="A119" s="116"/>
      <c r="B119" s="95" t="s">
        <v>236</v>
      </c>
      <c r="C119" s="89">
        <v>1575619.99</v>
      </c>
      <c r="D119" s="89">
        <v>531884.52</v>
      </c>
      <c r="E119" s="89">
        <v>1992503.9</v>
      </c>
      <c r="F119" s="89">
        <v>0</v>
      </c>
      <c r="G119" s="89">
        <v>0</v>
      </c>
      <c r="H119" s="89">
        <v>0</v>
      </c>
      <c r="I119" s="214">
        <v>1922848.29</v>
      </c>
      <c r="J119" s="89">
        <f t="shared" si="3"/>
        <v>6022856.6999999993</v>
      </c>
      <c r="K119" s="129" t="s">
        <v>728</v>
      </c>
    </row>
    <row r="120" spans="1:11" ht="15" hidden="1" x14ac:dyDescent="0.25">
      <c r="A120" s="116"/>
      <c r="B120" s="95" t="s">
        <v>237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214">
        <v>0</v>
      </c>
      <c r="J120" s="89">
        <f t="shared" si="3"/>
        <v>0</v>
      </c>
      <c r="K120" s="249"/>
    </row>
    <row r="121" spans="1:11" ht="15" hidden="1" x14ac:dyDescent="0.25">
      <c r="A121" s="116"/>
      <c r="B121" s="95" t="s">
        <v>238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214">
        <v>0</v>
      </c>
      <c r="J121" s="89">
        <f t="shared" si="3"/>
        <v>0</v>
      </c>
      <c r="K121" s="249"/>
    </row>
    <row r="122" spans="1:11" ht="15" hidden="1" x14ac:dyDescent="0.25">
      <c r="A122" s="251"/>
      <c r="B122" s="100" t="s">
        <v>239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x14ac:dyDescent="0.25">
      <c r="A123" s="251"/>
      <c r="B123" s="100" t="s">
        <v>240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220710</v>
      </c>
      <c r="J123" s="89">
        <f t="shared" si="3"/>
        <v>220710</v>
      </c>
      <c r="K123" s="219" t="s">
        <v>729</v>
      </c>
    </row>
    <row r="124" spans="1:11" ht="15" hidden="1" x14ac:dyDescent="0.25">
      <c r="A124" s="251"/>
      <c r="B124" s="100" t="s">
        <v>241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8"/>
      <c r="B125" s="244" t="s">
        <v>242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243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214">
        <v>0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244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hidden="1" x14ac:dyDescent="0.25">
      <c r="A128" s="260" t="s">
        <v>245</v>
      </c>
      <c r="B128" s="317"/>
      <c r="C128" s="89"/>
      <c r="D128" s="89"/>
      <c r="E128" s="89"/>
      <c r="F128" s="89"/>
      <c r="G128" s="89"/>
      <c r="H128" s="89"/>
      <c r="I128" s="214"/>
      <c r="J128" s="89"/>
      <c r="K128" s="249"/>
    </row>
    <row r="129" spans="1:11" ht="15" hidden="1" x14ac:dyDescent="0.25">
      <c r="A129" s="116"/>
      <c r="B129" s="95" t="s">
        <v>246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214">
        <v>0</v>
      </c>
      <c r="J129" s="89">
        <f t="shared" si="3"/>
        <v>0</v>
      </c>
      <c r="K129" s="249"/>
    </row>
    <row r="130" spans="1:11" hidden="1" x14ac:dyDescent="0.2">
      <c r="A130" s="251"/>
      <c r="B130" s="100" t="s">
        <v>247</v>
      </c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214">
        <v>0</v>
      </c>
      <c r="J130" s="89">
        <f t="shared" si="3"/>
        <v>0</v>
      </c>
      <c r="K130" s="252"/>
    </row>
    <row r="131" spans="1:11" hidden="1" x14ac:dyDescent="0.2">
      <c r="A131" s="116"/>
      <c r="B131" s="95" t="s">
        <v>248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249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ref="J132:J145" si="4">SUM(C132:I132)</f>
        <v>0</v>
      </c>
      <c r="K132" s="252"/>
    </row>
    <row r="133" spans="1:11" hidden="1" x14ac:dyDescent="0.2">
      <c r="A133" s="116"/>
      <c r="B133" s="95" t="s">
        <v>250</v>
      </c>
      <c r="C133" s="89">
        <v>0</v>
      </c>
      <c r="D133" s="89">
        <v>0</v>
      </c>
      <c r="E133" s="89"/>
      <c r="F133" s="89">
        <v>0</v>
      </c>
      <c r="G133" s="89">
        <v>0</v>
      </c>
      <c r="H133" s="89">
        <v>0</v>
      </c>
      <c r="I133" s="214">
        <v>0</v>
      </c>
      <c r="J133" s="89">
        <f t="shared" si="4"/>
        <v>0</v>
      </c>
      <c r="K133" s="92"/>
    </row>
    <row r="134" spans="1:11" hidden="1" x14ac:dyDescent="0.2">
      <c r="A134" s="116"/>
      <c r="B134" s="95" t="s">
        <v>251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252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253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254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255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256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257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ht="15" x14ac:dyDescent="0.25">
      <c r="A141" s="116"/>
      <c r="B141" s="95" t="s">
        <v>258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11179819</v>
      </c>
      <c r="J141" s="89">
        <f t="shared" si="4"/>
        <v>11179819</v>
      </c>
      <c r="K141" s="219" t="s">
        <v>730</v>
      </c>
    </row>
    <row r="142" spans="1:11" hidden="1" x14ac:dyDescent="0.2">
      <c r="A142" s="116"/>
      <c r="B142" s="95" t="s">
        <v>259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214">
        <v>0</v>
      </c>
      <c r="J142" s="89">
        <f t="shared" si="4"/>
        <v>0</v>
      </c>
      <c r="K142" s="92"/>
    </row>
    <row r="143" spans="1:11" ht="15" x14ac:dyDescent="0.25">
      <c r="A143" s="116"/>
      <c r="B143" s="95" t="s">
        <v>260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214">
        <v>830552</v>
      </c>
      <c r="J143" s="89">
        <f t="shared" si="4"/>
        <v>830552</v>
      </c>
      <c r="K143" s="219" t="s">
        <v>731</v>
      </c>
    </row>
    <row r="144" spans="1:11" ht="15.75" thickBot="1" x14ac:dyDescent="0.3">
      <c r="A144" s="261" t="s">
        <v>456</v>
      </c>
      <c r="B144" s="262"/>
      <c r="C144" s="263">
        <f>SUM(C55:C143)</f>
        <v>10384322.99</v>
      </c>
      <c r="D144" s="263">
        <f t="shared" ref="D144:H144" si="5">SUM(D55:D143)</f>
        <v>4684102.5199999996</v>
      </c>
      <c r="E144" s="263">
        <f t="shared" si="5"/>
        <v>2271102.9</v>
      </c>
      <c r="F144" s="263">
        <f t="shared" si="5"/>
        <v>0</v>
      </c>
      <c r="G144" s="263">
        <f t="shared" si="5"/>
        <v>0</v>
      </c>
      <c r="H144" s="263">
        <f t="shared" si="5"/>
        <v>0</v>
      </c>
      <c r="I144" s="264">
        <f>SUM(I55:I143)</f>
        <v>34054114.689999998</v>
      </c>
      <c r="J144" s="265">
        <f t="shared" si="4"/>
        <v>51393643.099999994</v>
      </c>
      <c r="K144" s="266"/>
    </row>
    <row r="145" spans="1:10" ht="18.75" customHeight="1" thickBot="1" x14ac:dyDescent="0.3">
      <c r="A145" s="245" t="s">
        <v>457</v>
      </c>
      <c r="B145" s="246"/>
      <c r="C145" s="247">
        <f>C54+C144</f>
        <v>37663181.490000002</v>
      </c>
      <c r="D145" s="247">
        <f t="shared" ref="D145:I145" si="6">D54+D144</f>
        <v>17276776.02</v>
      </c>
      <c r="E145" s="247">
        <f t="shared" si="6"/>
        <v>15324630.9</v>
      </c>
      <c r="F145" s="247">
        <f t="shared" si="6"/>
        <v>9158251</v>
      </c>
      <c r="G145" s="247">
        <f t="shared" si="6"/>
        <v>0</v>
      </c>
      <c r="H145" s="247">
        <f t="shared" si="6"/>
        <v>7506182</v>
      </c>
      <c r="I145" s="248">
        <f t="shared" si="6"/>
        <v>87915563.689999998</v>
      </c>
      <c r="J145" s="236">
        <f t="shared" si="4"/>
        <v>174844585.10000002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0</v>
      </c>
      <c r="F146" s="269">
        <v>-9158251</v>
      </c>
      <c r="G146" s="269">
        <v>0</v>
      </c>
      <c r="H146" s="269">
        <v>0</v>
      </c>
      <c r="I146" s="270">
        <v>0</v>
      </c>
      <c r="J146" s="144">
        <v>-9158251</v>
      </c>
    </row>
    <row r="147" spans="1:10" ht="21.75" customHeight="1" thickBot="1" x14ac:dyDescent="0.3">
      <c r="A147" s="271" t="s">
        <v>459</v>
      </c>
      <c r="B147" s="103"/>
      <c r="C147" s="272">
        <f>C145+C146</f>
        <v>37663181.490000002</v>
      </c>
      <c r="D147" s="272">
        <f t="shared" ref="D147:I147" si="7">D145+D146</f>
        <v>17276776.02</v>
      </c>
      <c r="E147" s="272">
        <f t="shared" si="7"/>
        <v>15324630.9</v>
      </c>
      <c r="F147" s="272">
        <f t="shared" si="7"/>
        <v>0</v>
      </c>
      <c r="G147" s="272">
        <f t="shared" si="7"/>
        <v>0</v>
      </c>
      <c r="H147" s="272">
        <f t="shared" si="7"/>
        <v>7506182</v>
      </c>
      <c r="I147" s="272">
        <f t="shared" si="7"/>
        <v>87915563.689999998</v>
      </c>
      <c r="J147" s="272">
        <f>SUM(C147:I147)</f>
        <v>165686334.10000002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74"/>
      <c r="J148" s="274"/>
    </row>
    <row r="149" spans="1:10" x14ac:dyDescent="0.2">
      <c r="A149" s="275"/>
      <c r="B149" s="191" t="str">
        <f>'PCFP - All Revenue AA-1 R -13'!C81</f>
        <v>Nye County School District</v>
      </c>
      <c r="C149" s="274" t="s">
        <v>428</v>
      </c>
      <c r="D149" s="274"/>
      <c r="E149" s="276"/>
      <c r="F149" s="276"/>
      <c r="G149" s="276"/>
      <c r="H149" s="274"/>
      <c r="I149" s="274"/>
      <c r="J149" s="274"/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H150" s="274"/>
      <c r="I150" s="274"/>
      <c r="J150" s="274"/>
    </row>
    <row r="151" spans="1:10" x14ac:dyDescent="0.2">
      <c r="H151" s="280" t="s">
        <v>492</v>
      </c>
      <c r="I151" s="280"/>
      <c r="J151" s="191" t="s">
        <v>493</v>
      </c>
    </row>
    <row r="152" spans="1:10" x14ac:dyDescent="0.2">
      <c r="J152" s="278" t="str">
        <f>"Budget Fiscal Year "&amp;TEXT('[13]Form 1'!$C$136, "mm/dd/yy")</f>
        <v>Budget Fiscal Year 2019-2020</v>
      </c>
    </row>
    <row r="153" spans="1:10" x14ac:dyDescent="0.2">
      <c r="J153" s="280" t="s">
        <v>461</v>
      </c>
    </row>
  </sheetData>
  <pageMargins left="0.55000000000000004" right="0" top="0.5" bottom="0.25" header="0.5" footer="0"/>
  <pageSetup scale="57" fitToHeight="3" orientation="landscape" r:id="rId1"/>
  <headerFooter alignWithMargins="0">
    <oddFooter>&amp;C&amp;8FORM 4405LGF
Last Revised 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8854-B7F1-496C-A638-1C13CCB2B358}">
  <dimension ref="A2:I17"/>
  <sheetViews>
    <sheetView showGridLines="0" workbookViewId="0">
      <selection activeCell="T12" sqref="T12"/>
    </sheetView>
  </sheetViews>
  <sheetFormatPr defaultColWidth="8.85546875" defaultRowHeight="12.75" x14ac:dyDescent="0.2"/>
  <sheetData>
    <row r="2" spans="1:9" ht="18" x14ac:dyDescent="0.25">
      <c r="A2" s="6" t="s">
        <v>732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7AFD-A5EB-468C-8763-7D8961CB26D2}">
  <sheetPr>
    <tabColor rgb="FFFFFF00"/>
    <pageSetUpPr fitToPage="1"/>
  </sheetPr>
  <dimension ref="A1:L152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1" width="7.28515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8.42578125" style="277" customWidth="1"/>
    <col min="11" max="11" width="8.710937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439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131">
        <v>18905017</v>
      </c>
      <c r="D3" s="131">
        <v>8967157</v>
      </c>
      <c r="E3" s="131">
        <v>1525046</v>
      </c>
      <c r="F3" s="131">
        <v>0</v>
      </c>
      <c r="G3" s="131">
        <v>0</v>
      </c>
      <c r="H3" s="131">
        <v>0</v>
      </c>
      <c r="I3" s="131">
        <v>0</v>
      </c>
      <c r="J3" s="89">
        <f>SUM(C3:I3)</f>
        <v>29397220</v>
      </c>
      <c r="K3" s="92"/>
    </row>
    <row r="4" spans="1:11" x14ac:dyDescent="0.2">
      <c r="A4" s="116">
        <v>200</v>
      </c>
      <c r="B4" s="95" t="s">
        <v>135</v>
      </c>
      <c r="C4" s="131">
        <v>0</v>
      </c>
      <c r="D4" s="131">
        <v>0</v>
      </c>
      <c r="E4" s="131">
        <v>11000</v>
      </c>
      <c r="F4" s="131">
        <v>0</v>
      </c>
      <c r="G4" s="131">
        <v>0</v>
      </c>
      <c r="H4" s="131">
        <v>0</v>
      </c>
      <c r="I4" s="131">
        <v>0</v>
      </c>
      <c r="J4" s="89">
        <f t="shared" ref="J4:J67" si="0">SUM(C4:I4)</f>
        <v>11000</v>
      </c>
      <c r="K4" s="92"/>
    </row>
    <row r="5" spans="1:11" hidden="1" x14ac:dyDescent="0.2">
      <c r="A5" s="210" t="s">
        <v>10</v>
      </c>
      <c r="B5" s="211" t="s">
        <v>136</v>
      </c>
      <c r="C5" s="131">
        <v>0</v>
      </c>
      <c r="D5" s="131">
        <v>0</v>
      </c>
      <c r="E5" s="131">
        <v>0</v>
      </c>
      <c r="F5" s="131">
        <v>0</v>
      </c>
      <c r="G5" s="131">
        <v>0</v>
      </c>
      <c r="H5" s="131">
        <v>0</v>
      </c>
      <c r="I5" s="131">
        <v>0</v>
      </c>
      <c r="J5" s="89">
        <f t="shared" si="0"/>
        <v>0</v>
      </c>
      <c r="K5" s="212"/>
    </row>
    <row r="6" spans="1:11" hidden="1" x14ac:dyDescent="0.2">
      <c r="A6" s="116">
        <v>270</v>
      </c>
      <c r="B6" s="95" t="s">
        <v>137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89">
        <f t="shared" si="0"/>
        <v>0</v>
      </c>
      <c r="K6" s="92"/>
    </row>
    <row r="7" spans="1:11" x14ac:dyDescent="0.2">
      <c r="A7" s="210" t="s">
        <v>10</v>
      </c>
      <c r="B7" s="211" t="s">
        <v>138</v>
      </c>
      <c r="C7" s="131">
        <v>0</v>
      </c>
      <c r="D7" s="131">
        <v>0</v>
      </c>
      <c r="E7" s="131">
        <v>745337</v>
      </c>
      <c r="F7" s="131">
        <v>0</v>
      </c>
      <c r="G7" s="131">
        <v>0</v>
      </c>
      <c r="H7" s="131">
        <v>0</v>
      </c>
      <c r="I7" s="131">
        <v>0</v>
      </c>
      <c r="J7" s="89">
        <f t="shared" si="0"/>
        <v>745337</v>
      </c>
      <c r="K7" s="212"/>
    </row>
    <row r="8" spans="1:11" x14ac:dyDescent="0.2">
      <c r="A8" s="116">
        <v>300</v>
      </c>
      <c r="B8" s="95" t="s">
        <v>139</v>
      </c>
      <c r="C8" s="131">
        <v>1878069</v>
      </c>
      <c r="D8" s="131">
        <v>903842</v>
      </c>
      <c r="E8" s="131">
        <v>20500</v>
      </c>
      <c r="F8" s="131">
        <v>0</v>
      </c>
      <c r="G8" s="131">
        <v>0</v>
      </c>
      <c r="H8" s="131">
        <v>0</v>
      </c>
      <c r="I8" s="131">
        <v>0</v>
      </c>
      <c r="J8" s="89">
        <f t="shared" si="0"/>
        <v>2802411</v>
      </c>
      <c r="K8" s="92"/>
    </row>
    <row r="9" spans="1:11" hidden="1" x14ac:dyDescent="0.2">
      <c r="A9" s="116">
        <v>400</v>
      </c>
      <c r="B9" s="95" t="s">
        <v>140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89">
        <f t="shared" si="0"/>
        <v>0</v>
      </c>
      <c r="K9" s="92"/>
    </row>
    <row r="10" spans="1:11" x14ac:dyDescent="0.2">
      <c r="A10" s="210" t="s">
        <v>10</v>
      </c>
      <c r="B10" s="211" t="s">
        <v>141</v>
      </c>
      <c r="C10" s="213">
        <v>1347399</v>
      </c>
      <c r="D10" s="213">
        <v>726183</v>
      </c>
      <c r="E10" s="213">
        <v>50500</v>
      </c>
      <c r="F10" s="131">
        <v>0</v>
      </c>
      <c r="G10" s="131">
        <v>0</v>
      </c>
      <c r="H10" s="131">
        <v>0</v>
      </c>
      <c r="I10" s="131">
        <v>0</v>
      </c>
      <c r="J10" s="89">
        <f t="shared" si="0"/>
        <v>2124082</v>
      </c>
      <c r="K10" s="212"/>
    </row>
    <row r="11" spans="1:11" x14ac:dyDescent="0.2">
      <c r="A11" s="210" t="s">
        <v>10</v>
      </c>
      <c r="B11" s="211" t="s">
        <v>142</v>
      </c>
      <c r="C11" s="131">
        <v>630819</v>
      </c>
      <c r="D11" s="131">
        <v>290195</v>
      </c>
      <c r="E11" s="131">
        <v>350000</v>
      </c>
      <c r="F11" s="131">
        <v>0</v>
      </c>
      <c r="G11" s="131">
        <v>0</v>
      </c>
      <c r="H11" s="131">
        <v>0</v>
      </c>
      <c r="I11" s="131">
        <v>0</v>
      </c>
      <c r="J11" s="89">
        <f t="shared" si="0"/>
        <v>1271014</v>
      </c>
      <c r="K11" s="212"/>
    </row>
    <row r="12" spans="1:11" hidden="1" x14ac:dyDescent="0.2">
      <c r="A12" s="116">
        <v>440</v>
      </c>
      <c r="B12" s="95" t="s">
        <v>143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89">
        <f t="shared" si="0"/>
        <v>0</v>
      </c>
      <c r="K12" s="92"/>
    </row>
    <row r="13" spans="1:11" hidden="1" x14ac:dyDescent="0.2">
      <c r="A13" s="116">
        <v>500</v>
      </c>
      <c r="B13" s="95" t="s">
        <v>144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89">
        <f t="shared" si="0"/>
        <v>0</v>
      </c>
      <c r="K13" s="92"/>
    </row>
    <row r="14" spans="1:11" hidden="1" x14ac:dyDescent="0.2">
      <c r="A14" s="116">
        <v>600</v>
      </c>
      <c r="B14" s="95" t="s">
        <v>145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89">
        <f t="shared" si="0"/>
        <v>0</v>
      </c>
      <c r="K14" s="92"/>
    </row>
    <row r="15" spans="1:11" hidden="1" x14ac:dyDescent="0.2">
      <c r="A15" s="116">
        <v>800</v>
      </c>
      <c r="B15" s="95" t="s">
        <v>146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89">
        <f t="shared" si="0"/>
        <v>0</v>
      </c>
      <c r="K15" s="92"/>
    </row>
    <row r="16" spans="1:11" x14ac:dyDescent="0.2">
      <c r="A16" s="116">
        <v>910</v>
      </c>
      <c r="B16" s="95" t="s">
        <v>147</v>
      </c>
      <c r="C16" s="131">
        <v>33705</v>
      </c>
      <c r="D16" s="131">
        <v>20521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89">
        <f t="shared" si="0"/>
        <v>54226</v>
      </c>
      <c r="K16" s="92"/>
    </row>
    <row r="17" spans="1:11" x14ac:dyDescent="0.2">
      <c r="A17" s="116">
        <v>920</v>
      </c>
      <c r="B17" s="95" t="s">
        <v>148</v>
      </c>
      <c r="C17" s="131">
        <v>461100</v>
      </c>
      <c r="D17" s="131">
        <v>62339</v>
      </c>
      <c r="E17" s="131">
        <v>181925</v>
      </c>
      <c r="F17" s="131">
        <v>0</v>
      </c>
      <c r="G17" s="131">
        <v>0</v>
      </c>
      <c r="H17" s="131">
        <v>0</v>
      </c>
      <c r="I17" s="131">
        <v>0</v>
      </c>
      <c r="J17" s="89">
        <f t="shared" si="0"/>
        <v>705364</v>
      </c>
      <c r="K17" s="92"/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hidden="1" x14ac:dyDescent="0.25">
      <c r="A20" s="215" t="s">
        <v>443</v>
      </c>
      <c r="B20" s="216" t="s">
        <v>444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0</v>
      </c>
      <c r="K20" s="92"/>
    </row>
    <row r="21" spans="1:11" x14ac:dyDescent="0.2">
      <c r="A21" s="116">
        <v>2100</v>
      </c>
      <c r="B21" s="95" t="s">
        <v>151</v>
      </c>
      <c r="C21" s="131">
        <v>2495675</v>
      </c>
      <c r="D21" s="131">
        <v>1090728</v>
      </c>
      <c r="E21" s="131">
        <v>53000</v>
      </c>
      <c r="F21" s="131">
        <v>0</v>
      </c>
      <c r="G21" s="131">
        <v>0</v>
      </c>
      <c r="H21" s="131">
        <v>0</v>
      </c>
      <c r="I21" s="131">
        <v>0</v>
      </c>
      <c r="J21" s="89">
        <f t="shared" si="0"/>
        <v>3639403</v>
      </c>
      <c r="K21" s="92"/>
    </row>
    <row r="22" spans="1:11" x14ac:dyDescent="0.2">
      <c r="A22" s="116">
        <v>2200</v>
      </c>
      <c r="B22" s="95" t="s">
        <v>152</v>
      </c>
      <c r="C22" s="131">
        <v>1202132</v>
      </c>
      <c r="D22" s="131">
        <v>484092</v>
      </c>
      <c r="E22" s="131">
        <v>289540</v>
      </c>
      <c r="F22" s="131">
        <v>0</v>
      </c>
      <c r="G22" s="131">
        <v>0</v>
      </c>
      <c r="H22" s="131">
        <v>0</v>
      </c>
      <c r="I22" s="131">
        <v>0</v>
      </c>
      <c r="J22" s="89">
        <f t="shared" si="0"/>
        <v>1975764</v>
      </c>
      <c r="K22" s="92"/>
    </row>
    <row r="23" spans="1:11" x14ac:dyDescent="0.2">
      <c r="A23" s="116">
        <v>2300</v>
      </c>
      <c r="B23" s="95" t="s">
        <v>153</v>
      </c>
      <c r="C23" s="131">
        <v>278512</v>
      </c>
      <c r="D23" s="131">
        <v>99168</v>
      </c>
      <c r="E23" s="131">
        <v>205059</v>
      </c>
      <c r="F23" s="131">
        <v>0</v>
      </c>
      <c r="G23" s="131">
        <v>0</v>
      </c>
      <c r="H23" s="131">
        <v>0</v>
      </c>
      <c r="I23" s="131">
        <v>0</v>
      </c>
      <c r="J23" s="89">
        <f t="shared" si="0"/>
        <v>582739</v>
      </c>
      <c r="K23" s="92"/>
    </row>
    <row r="24" spans="1:11" x14ac:dyDescent="0.2">
      <c r="A24" s="116">
        <v>2400</v>
      </c>
      <c r="B24" s="95" t="s">
        <v>154</v>
      </c>
      <c r="C24" s="131">
        <v>2668521</v>
      </c>
      <c r="D24" s="131">
        <v>1175018</v>
      </c>
      <c r="E24" s="131">
        <v>708904</v>
      </c>
      <c r="F24" s="131">
        <v>0</v>
      </c>
      <c r="G24" s="131">
        <v>0</v>
      </c>
      <c r="H24" s="131">
        <v>0</v>
      </c>
      <c r="I24" s="131">
        <v>0</v>
      </c>
      <c r="J24" s="89">
        <f t="shared" si="0"/>
        <v>4552443</v>
      </c>
      <c r="K24" s="92"/>
    </row>
    <row r="25" spans="1:11" x14ac:dyDescent="0.2">
      <c r="A25" s="116">
        <v>2500</v>
      </c>
      <c r="B25" s="95" t="s">
        <v>155</v>
      </c>
      <c r="C25" s="131">
        <v>1981313</v>
      </c>
      <c r="D25" s="131">
        <v>906124</v>
      </c>
      <c r="E25" s="131">
        <v>1539050</v>
      </c>
      <c r="F25" s="131">
        <v>0</v>
      </c>
      <c r="G25" s="131">
        <v>0</v>
      </c>
      <c r="H25" s="131">
        <v>0</v>
      </c>
      <c r="I25" s="131">
        <v>0</v>
      </c>
      <c r="J25" s="89">
        <f t="shared" si="0"/>
        <v>4426487</v>
      </c>
      <c r="K25" s="92"/>
    </row>
    <row r="26" spans="1:11" x14ac:dyDescent="0.2">
      <c r="A26" s="116">
        <v>2600</v>
      </c>
      <c r="B26" s="95" t="s">
        <v>156</v>
      </c>
      <c r="C26" s="131">
        <v>2279143</v>
      </c>
      <c r="D26" s="131">
        <v>1241307</v>
      </c>
      <c r="E26" s="131">
        <v>3147028</v>
      </c>
      <c r="F26" s="131">
        <v>0</v>
      </c>
      <c r="G26" s="131">
        <v>0</v>
      </c>
      <c r="H26" s="131">
        <v>0</v>
      </c>
      <c r="I26" s="131">
        <v>0</v>
      </c>
      <c r="J26" s="89">
        <f t="shared" si="0"/>
        <v>6667478</v>
      </c>
      <c r="K26" s="92"/>
    </row>
    <row r="27" spans="1:11" x14ac:dyDescent="0.2">
      <c r="A27" s="217">
        <v>2700</v>
      </c>
      <c r="B27" s="211" t="s">
        <v>157</v>
      </c>
      <c r="C27" s="213">
        <v>875659</v>
      </c>
      <c r="D27" s="213">
        <v>588812</v>
      </c>
      <c r="E27" s="213">
        <v>473500</v>
      </c>
      <c r="F27" s="131">
        <v>0</v>
      </c>
      <c r="G27" s="131">
        <v>0</v>
      </c>
      <c r="H27" s="131">
        <v>0</v>
      </c>
      <c r="I27" s="131">
        <v>0</v>
      </c>
      <c r="J27" s="89">
        <f t="shared" si="0"/>
        <v>1937971</v>
      </c>
      <c r="K27" s="212"/>
    </row>
    <row r="28" spans="1:11" x14ac:dyDescent="0.2">
      <c r="A28" s="116">
        <v>2900</v>
      </c>
      <c r="B28" s="95" t="s">
        <v>158</v>
      </c>
      <c r="C28" s="131">
        <v>53331</v>
      </c>
      <c r="D28" s="131">
        <v>26740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89">
        <f t="shared" si="0"/>
        <v>80071</v>
      </c>
      <c r="K28" s="92"/>
    </row>
    <row r="29" spans="1:11" s="204" customFormat="1" ht="15" hidden="1" x14ac:dyDescent="0.25">
      <c r="A29" s="218">
        <v>3000</v>
      </c>
      <c r="B29" s="216" t="s">
        <v>159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89">
        <f t="shared" si="0"/>
        <v>0</v>
      </c>
      <c r="K29" s="219"/>
    </row>
    <row r="30" spans="1:11" hidden="1" x14ac:dyDescent="0.2">
      <c r="A30" s="217">
        <v>3100</v>
      </c>
      <c r="B30" s="211" t="s">
        <v>160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89">
        <f t="shared" si="0"/>
        <v>0</v>
      </c>
      <c r="K30" s="212"/>
    </row>
    <row r="31" spans="1:11" hidden="1" x14ac:dyDescent="0.2">
      <c r="A31" s="116">
        <v>3200</v>
      </c>
      <c r="B31" s="95" t="s">
        <v>161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89">
        <f t="shared" si="0"/>
        <v>0</v>
      </c>
      <c r="K31" s="92"/>
    </row>
    <row r="32" spans="1:11" hidden="1" x14ac:dyDescent="0.2">
      <c r="A32" s="116">
        <v>3300</v>
      </c>
      <c r="B32" s="95" t="s">
        <v>162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89">
        <f t="shared" si="0"/>
        <v>0</v>
      </c>
      <c r="K32" s="92"/>
    </row>
    <row r="33" spans="1:11" s="223" customFormat="1" hidden="1" x14ac:dyDescent="0.2">
      <c r="A33" s="220">
        <v>4100</v>
      </c>
      <c r="B33" s="221" t="s">
        <v>163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89">
        <f t="shared" si="0"/>
        <v>0</v>
      </c>
      <c r="K33" s="222"/>
    </row>
    <row r="34" spans="1:11" s="225" customFormat="1" ht="15" hidden="1" x14ac:dyDescent="0.25">
      <c r="A34" s="220">
        <v>4000</v>
      </c>
      <c r="B34" s="221" t="s">
        <v>164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89">
        <f t="shared" si="0"/>
        <v>0</v>
      </c>
      <c r="K34" s="224"/>
    </row>
    <row r="35" spans="1:11" s="223" customFormat="1" hidden="1" x14ac:dyDescent="0.2">
      <c r="A35" s="220">
        <v>4200</v>
      </c>
      <c r="B35" s="221" t="s">
        <v>165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89">
        <f t="shared" si="0"/>
        <v>0</v>
      </c>
      <c r="K35" s="222"/>
    </row>
    <row r="36" spans="1:11" s="223" customFormat="1" hidden="1" x14ac:dyDescent="0.2">
      <c r="A36" s="220">
        <v>4300</v>
      </c>
      <c r="B36" s="221" t="s">
        <v>166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89">
        <f t="shared" si="0"/>
        <v>0</v>
      </c>
      <c r="K36" s="222"/>
    </row>
    <row r="37" spans="1:11" s="223" customFormat="1" ht="28.5" hidden="1" x14ac:dyDescent="0.2">
      <c r="A37" s="220">
        <v>4400</v>
      </c>
      <c r="B37" s="221" t="s">
        <v>167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89">
        <f t="shared" si="0"/>
        <v>0</v>
      </c>
      <c r="K37" s="222"/>
    </row>
    <row r="38" spans="1:11" s="223" customFormat="1" hidden="1" x14ac:dyDescent="0.2">
      <c r="A38" s="220">
        <v>4500</v>
      </c>
      <c r="B38" s="221" t="s">
        <v>168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89">
        <f t="shared" si="0"/>
        <v>0</v>
      </c>
      <c r="K38" s="222"/>
    </row>
    <row r="39" spans="1:11" s="223" customFormat="1" hidden="1" x14ac:dyDescent="0.2">
      <c r="A39" s="220">
        <v>4600</v>
      </c>
      <c r="B39" s="221" t="s">
        <v>169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89">
        <f t="shared" si="0"/>
        <v>0</v>
      </c>
      <c r="K39" s="222"/>
    </row>
    <row r="40" spans="1:11" s="223" customFormat="1" hidden="1" x14ac:dyDescent="0.2">
      <c r="A40" s="220">
        <v>4700</v>
      </c>
      <c r="B40" s="221" t="s">
        <v>170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89">
        <f t="shared" si="0"/>
        <v>0</v>
      </c>
      <c r="K40" s="222"/>
    </row>
    <row r="41" spans="1:11" s="223" customFormat="1" hidden="1" x14ac:dyDescent="0.2">
      <c r="A41" s="220">
        <v>4900</v>
      </c>
      <c r="B41" s="221" t="s">
        <v>171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89">
        <f t="shared" si="0"/>
        <v>0</v>
      </c>
      <c r="K41" s="222"/>
    </row>
    <row r="42" spans="1:11" hidden="1" x14ac:dyDescent="0.2">
      <c r="A42" s="220">
        <v>5000</v>
      </c>
      <c r="B42" s="226" t="s">
        <v>172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89">
        <f t="shared" si="0"/>
        <v>0</v>
      </c>
      <c r="K42" s="92"/>
    </row>
    <row r="43" spans="1:11" hidden="1" x14ac:dyDescent="0.2">
      <c r="A43" s="220">
        <v>5000</v>
      </c>
      <c r="B43" s="226" t="s">
        <v>173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89">
        <f t="shared" si="0"/>
        <v>0</v>
      </c>
      <c r="K43" s="92"/>
    </row>
    <row r="44" spans="1:11" hidden="1" x14ac:dyDescent="0.2">
      <c r="A44" s="220">
        <v>6100</v>
      </c>
      <c r="B44" s="226" t="s">
        <v>174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131">
        <v>0</v>
      </c>
      <c r="D45" s="131">
        <v>0</v>
      </c>
      <c r="E45" s="131">
        <v>0</v>
      </c>
      <c r="F45" s="131">
        <v>153282</v>
      </c>
      <c r="G45" s="131">
        <v>0</v>
      </c>
      <c r="H45" s="131">
        <v>0</v>
      </c>
      <c r="I45" s="131">
        <v>0</v>
      </c>
      <c r="J45" s="89">
        <f t="shared" si="0"/>
        <v>153282</v>
      </c>
      <c r="K45" s="92"/>
    </row>
    <row r="46" spans="1:11" x14ac:dyDescent="0.2">
      <c r="A46" s="116">
        <v>6300</v>
      </c>
      <c r="B46" s="95" t="s">
        <v>176</v>
      </c>
      <c r="C46" s="131">
        <v>0</v>
      </c>
      <c r="D46" s="131">
        <v>0</v>
      </c>
      <c r="E46" s="131">
        <v>0</v>
      </c>
      <c r="F46" s="131">
        <v>0</v>
      </c>
      <c r="G46" s="131">
        <v>1000000</v>
      </c>
      <c r="H46" s="131">
        <v>0</v>
      </c>
      <c r="I46" s="131">
        <v>0</v>
      </c>
      <c r="J46" s="89">
        <f t="shared" si="0"/>
        <v>1000000</v>
      </c>
      <c r="K46" s="92"/>
    </row>
    <row r="47" spans="1:11" ht="15" thickBot="1" x14ac:dyDescent="0.25">
      <c r="A47" s="116">
        <v>8000</v>
      </c>
      <c r="B47" s="227" t="s">
        <v>177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228">
        <v>12966039</v>
      </c>
      <c r="I47" s="131">
        <v>0</v>
      </c>
      <c r="J47" s="89">
        <f t="shared" si="0"/>
        <v>12966039</v>
      </c>
      <c r="K47" s="92"/>
    </row>
    <row r="48" spans="1:11" ht="15" hidden="1" thickBot="1" x14ac:dyDescent="0.25">
      <c r="A48" s="116"/>
      <c r="B48" s="227" t="s">
        <v>445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89">
        <f t="shared" si="0"/>
        <v>0</v>
      </c>
      <c r="K48" s="92"/>
    </row>
    <row r="49" spans="1:11" ht="15" hidden="1" thickBot="1" x14ac:dyDescent="0.25">
      <c r="A49" s="229"/>
      <c r="B49" s="100" t="s">
        <v>446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89">
        <f t="shared" si="0"/>
        <v>0</v>
      </c>
      <c r="K49" s="92"/>
    </row>
    <row r="50" spans="1:11" ht="15" hidden="1" thickBot="1" x14ac:dyDescent="0.25">
      <c r="A50" s="230"/>
      <c r="B50" s="231" t="s">
        <v>255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232">
        <f t="shared" si="0"/>
        <v>0</v>
      </c>
      <c r="K50" s="233"/>
    </row>
    <row r="51" spans="1:11" ht="15.75" thickBot="1" x14ac:dyDescent="0.3">
      <c r="A51" s="234"/>
      <c r="B51" s="235" t="s">
        <v>447</v>
      </c>
      <c r="C51" s="236">
        <f>SUM(C2:C50)</f>
        <v>35090395</v>
      </c>
      <c r="D51" s="236">
        <f>SUM(D2:D50)</f>
        <v>16582226</v>
      </c>
      <c r="E51" s="236">
        <f>SUM(E2:E50)</f>
        <v>9300389</v>
      </c>
      <c r="F51" s="236">
        <f t="shared" ref="F51:I51" si="1">SUM(F2:F50)</f>
        <v>153282</v>
      </c>
      <c r="G51" s="236">
        <f t="shared" si="1"/>
        <v>1000000</v>
      </c>
      <c r="H51" s="236">
        <f t="shared" si="1"/>
        <v>12966039</v>
      </c>
      <c r="I51" s="237">
        <f t="shared" si="1"/>
        <v>0</v>
      </c>
      <c r="J51" s="238">
        <f t="shared" si="0"/>
        <v>75092331</v>
      </c>
      <c r="K51" s="239"/>
    </row>
    <row r="52" spans="1:11" ht="15.75" thickBot="1" x14ac:dyDescent="0.3">
      <c r="A52" s="218" t="s">
        <v>448</v>
      </c>
      <c r="B52" s="95"/>
      <c r="C52" s="240" t="s">
        <v>393</v>
      </c>
      <c r="D52" s="240" t="s">
        <v>449</v>
      </c>
      <c r="E52" s="240" t="s">
        <v>450</v>
      </c>
      <c r="F52" s="240" t="s">
        <v>451</v>
      </c>
      <c r="G52" s="240" t="s">
        <v>452</v>
      </c>
      <c r="H52" s="240">
        <v>4155474</v>
      </c>
      <c r="I52" s="241">
        <v>6641079</v>
      </c>
      <c r="J52" s="242">
        <f t="shared" si="0"/>
        <v>10796553</v>
      </c>
      <c r="K52" s="112"/>
    </row>
    <row r="53" spans="1:11" ht="15.75" hidden="1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233"/>
    </row>
    <row r="54" spans="1:11" ht="20.25" customHeight="1" thickBot="1" x14ac:dyDescent="0.3">
      <c r="A54" s="245" t="s">
        <v>454</v>
      </c>
      <c r="B54" s="246"/>
      <c r="C54" s="247">
        <f>SUM(C51:C53)</f>
        <v>35090395</v>
      </c>
      <c r="D54" s="247">
        <f t="shared" ref="D54:H54" si="2">SUM(D51:D53)</f>
        <v>16582226</v>
      </c>
      <c r="E54" s="247">
        <f t="shared" si="2"/>
        <v>9300389</v>
      </c>
      <c r="F54" s="247">
        <f t="shared" si="2"/>
        <v>153282</v>
      </c>
      <c r="G54" s="247">
        <f t="shared" si="2"/>
        <v>1000000</v>
      </c>
      <c r="H54" s="247">
        <f t="shared" si="2"/>
        <v>17121513</v>
      </c>
      <c r="I54" s="248">
        <f>SUM(I51:I53)</f>
        <v>6641079</v>
      </c>
      <c r="J54" s="236">
        <f>SUM(C54:I54)</f>
        <v>85888884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hidden="1" x14ac:dyDescent="0.25">
      <c r="A56" s="116"/>
      <c r="B56" s="95" t="s">
        <v>179</v>
      </c>
      <c r="C56" s="89" t="s">
        <v>393</v>
      </c>
      <c r="D56" s="89" t="s">
        <v>449</v>
      </c>
      <c r="E56" s="89" t="s">
        <v>450</v>
      </c>
      <c r="F56" s="89" t="s">
        <v>451</v>
      </c>
      <c r="G56" s="89" t="s">
        <v>452</v>
      </c>
      <c r="H56" s="89" t="s">
        <v>393</v>
      </c>
      <c r="I56" s="214" t="s">
        <v>455</v>
      </c>
      <c r="J56" s="89">
        <f t="shared" si="0"/>
        <v>0</v>
      </c>
      <c r="K56" s="249"/>
    </row>
    <row r="57" spans="1:11" ht="15" x14ac:dyDescent="0.25">
      <c r="A57" s="116"/>
      <c r="B57" s="95" t="s">
        <v>145</v>
      </c>
      <c r="C57" s="89" t="s">
        <v>393</v>
      </c>
      <c r="D57" s="89" t="s">
        <v>449</v>
      </c>
      <c r="E57" s="89" t="s">
        <v>450</v>
      </c>
      <c r="F57" s="89" t="s">
        <v>451</v>
      </c>
      <c r="G57" s="89" t="s">
        <v>452</v>
      </c>
      <c r="H57" s="89" t="s">
        <v>393</v>
      </c>
      <c r="I57" s="214">
        <v>407324</v>
      </c>
      <c r="J57" s="250">
        <f t="shared" si="0"/>
        <v>407324</v>
      </c>
      <c r="K57" s="249"/>
    </row>
    <row r="58" spans="1:11" ht="15" x14ac:dyDescent="0.25">
      <c r="A58" s="116"/>
      <c r="B58" s="95" t="s">
        <v>180</v>
      </c>
      <c r="C58" s="89" t="s">
        <v>393</v>
      </c>
      <c r="D58" s="89" t="s">
        <v>449</v>
      </c>
      <c r="E58" s="89" t="s">
        <v>450</v>
      </c>
      <c r="F58" s="89" t="s">
        <v>451</v>
      </c>
      <c r="G58" s="89" t="s">
        <v>452</v>
      </c>
      <c r="H58" s="89" t="s">
        <v>393</v>
      </c>
      <c r="I58" s="214">
        <v>982855</v>
      </c>
      <c r="J58" s="250">
        <f t="shared" si="0"/>
        <v>982855</v>
      </c>
      <c r="K58" s="249"/>
    </row>
    <row r="59" spans="1:11" ht="15" hidden="1" x14ac:dyDescent="0.25">
      <c r="A59" s="116"/>
      <c r="B59" s="95" t="s">
        <v>181</v>
      </c>
      <c r="C59" s="89" t="s">
        <v>393</v>
      </c>
      <c r="D59" s="89" t="s">
        <v>449</v>
      </c>
      <c r="E59" s="89" t="s">
        <v>450</v>
      </c>
      <c r="F59" s="89" t="s">
        <v>451</v>
      </c>
      <c r="G59" s="89" t="s">
        <v>452</v>
      </c>
      <c r="H59" s="89" t="s">
        <v>393</v>
      </c>
      <c r="I59" s="214" t="s">
        <v>455</v>
      </c>
      <c r="J59" s="89">
        <f t="shared" si="0"/>
        <v>0</v>
      </c>
      <c r="K59" s="249"/>
    </row>
    <row r="60" spans="1:11" ht="15" x14ac:dyDescent="0.25">
      <c r="A60" s="116"/>
      <c r="B60" s="95" t="s">
        <v>182</v>
      </c>
      <c r="C60" s="89" t="s">
        <v>393</v>
      </c>
      <c r="D60" s="89" t="s">
        <v>449</v>
      </c>
      <c r="E60" s="89" t="s">
        <v>450</v>
      </c>
      <c r="F60" s="89" t="s">
        <v>451</v>
      </c>
      <c r="G60" s="89" t="s">
        <v>452</v>
      </c>
      <c r="H60" s="89" t="s">
        <v>393</v>
      </c>
      <c r="I60" s="214">
        <v>22900641</v>
      </c>
      <c r="J60" s="250">
        <f t="shared" si="0"/>
        <v>22900641</v>
      </c>
      <c r="K60" s="249"/>
    </row>
    <row r="61" spans="1:11" ht="15" hidden="1" x14ac:dyDescent="0.25">
      <c r="A61" s="251"/>
      <c r="B61" s="100" t="s">
        <v>183</v>
      </c>
      <c r="C61" s="89" t="s">
        <v>393</v>
      </c>
      <c r="D61" s="89" t="s">
        <v>449</v>
      </c>
      <c r="E61" s="89" t="s">
        <v>450</v>
      </c>
      <c r="F61" s="89" t="s">
        <v>451</v>
      </c>
      <c r="G61" s="89" t="s">
        <v>452</v>
      </c>
      <c r="H61" s="89" t="s">
        <v>393</v>
      </c>
      <c r="I61" s="214" t="s">
        <v>455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184</v>
      </c>
      <c r="C62" s="89" t="s">
        <v>393</v>
      </c>
      <c r="D62" s="89" t="s">
        <v>449</v>
      </c>
      <c r="E62" s="89" t="s">
        <v>450</v>
      </c>
      <c r="F62" s="89" t="s">
        <v>451</v>
      </c>
      <c r="G62" s="89" t="s">
        <v>452</v>
      </c>
      <c r="H62" s="89" t="s">
        <v>393</v>
      </c>
      <c r="I62" s="214" t="s">
        <v>455</v>
      </c>
      <c r="J62" s="89">
        <f t="shared" si="0"/>
        <v>0</v>
      </c>
      <c r="K62" s="249"/>
    </row>
    <row r="63" spans="1:11" ht="15" hidden="1" x14ac:dyDescent="0.25">
      <c r="A63" s="251"/>
      <c r="B63" s="100" t="s">
        <v>185</v>
      </c>
      <c r="C63" s="89" t="s">
        <v>393</v>
      </c>
      <c r="D63" s="89" t="s">
        <v>449</v>
      </c>
      <c r="E63" s="89" t="s">
        <v>450</v>
      </c>
      <c r="F63" s="89" t="s">
        <v>451</v>
      </c>
      <c r="G63" s="89" t="s">
        <v>452</v>
      </c>
      <c r="H63" s="89" t="s">
        <v>393</v>
      </c>
      <c r="I63" s="214" t="s">
        <v>455</v>
      </c>
      <c r="J63" s="89">
        <f t="shared" si="0"/>
        <v>0</v>
      </c>
      <c r="K63" s="249"/>
    </row>
    <row r="64" spans="1:11" ht="15" hidden="1" x14ac:dyDescent="0.25">
      <c r="A64" s="251"/>
      <c r="B64" s="100" t="s">
        <v>186</v>
      </c>
      <c r="C64" s="89" t="s">
        <v>393</v>
      </c>
      <c r="D64" s="89" t="s">
        <v>449</v>
      </c>
      <c r="E64" s="89" t="s">
        <v>450</v>
      </c>
      <c r="F64" s="89" t="s">
        <v>451</v>
      </c>
      <c r="G64" s="89" t="s">
        <v>452</v>
      </c>
      <c r="H64" s="89" t="s">
        <v>393</v>
      </c>
      <c r="I64" s="214" t="s">
        <v>455</v>
      </c>
      <c r="J64" s="89">
        <f t="shared" si="0"/>
        <v>0</v>
      </c>
      <c r="K64" s="249"/>
    </row>
    <row r="65" spans="1:11" ht="15" hidden="1" x14ac:dyDescent="0.25">
      <c r="A65" s="251"/>
      <c r="B65" s="100" t="s">
        <v>187</v>
      </c>
      <c r="C65" s="89" t="s">
        <v>393</v>
      </c>
      <c r="D65" s="89" t="s">
        <v>449</v>
      </c>
      <c r="E65" s="89" t="s">
        <v>450</v>
      </c>
      <c r="F65" s="89" t="s">
        <v>451</v>
      </c>
      <c r="G65" s="89" t="s">
        <v>452</v>
      </c>
      <c r="H65" s="89" t="s">
        <v>393</v>
      </c>
      <c r="I65" s="214" t="s">
        <v>455</v>
      </c>
      <c r="J65" s="89">
        <f t="shared" si="0"/>
        <v>0</v>
      </c>
      <c r="K65" s="249"/>
    </row>
    <row r="66" spans="1:11" ht="15" hidden="1" x14ac:dyDescent="0.25">
      <c r="A66" s="251"/>
      <c r="B66" s="100" t="s">
        <v>188</v>
      </c>
      <c r="C66" s="89" t="s">
        <v>393</v>
      </c>
      <c r="D66" s="89" t="s">
        <v>449</v>
      </c>
      <c r="E66" s="89" t="s">
        <v>450</v>
      </c>
      <c r="F66" s="89" t="s">
        <v>451</v>
      </c>
      <c r="G66" s="89" t="s">
        <v>452</v>
      </c>
      <c r="H66" s="89" t="s">
        <v>393</v>
      </c>
      <c r="I66" s="214" t="s">
        <v>455</v>
      </c>
      <c r="J66" s="89">
        <f t="shared" si="0"/>
        <v>0</v>
      </c>
      <c r="K66" s="249"/>
    </row>
    <row r="67" spans="1:11" ht="15" hidden="1" x14ac:dyDescent="0.25">
      <c r="A67" s="251"/>
      <c r="B67" s="100" t="s">
        <v>189</v>
      </c>
      <c r="C67" s="89" t="s">
        <v>393</v>
      </c>
      <c r="D67" s="89" t="s">
        <v>449</v>
      </c>
      <c r="E67" s="89" t="s">
        <v>450</v>
      </c>
      <c r="F67" s="89" t="s">
        <v>451</v>
      </c>
      <c r="G67" s="89" t="s">
        <v>452</v>
      </c>
      <c r="H67" s="89" t="s">
        <v>393</v>
      </c>
      <c r="I67" s="214" t="s">
        <v>455</v>
      </c>
      <c r="J67" s="89">
        <f t="shared" si="0"/>
        <v>0</v>
      </c>
      <c r="K67" s="249"/>
    </row>
    <row r="68" spans="1:11" ht="15" x14ac:dyDescent="0.25">
      <c r="A68" s="116"/>
      <c r="B68" s="95" t="s">
        <v>190</v>
      </c>
      <c r="C68" s="89" t="s">
        <v>393</v>
      </c>
      <c r="D68" s="89" t="s">
        <v>449</v>
      </c>
      <c r="E68" s="89" t="s">
        <v>450</v>
      </c>
      <c r="F68" s="89" t="s">
        <v>451</v>
      </c>
      <c r="G68" s="89" t="s">
        <v>452</v>
      </c>
      <c r="H68" s="89">
        <v>311966</v>
      </c>
      <c r="I68" s="214">
        <v>1540000</v>
      </c>
      <c r="J68" s="250">
        <f t="shared" ref="J68:J132" si="3">SUM(C68:I68)</f>
        <v>1851966</v>
      </c>
      <c r="K68" s="249"/>
    </row>
    <row r="69" spans="1:11" ht="15" x14ac:dyDescent="0.25">
      <c r="A69" s="116"/>
      <c r="B69" s="95" t="s">
        <v>191</v>
      </c>
      <c r="C69" s="89">
        <v>1956904</v>
      </c>
      <c r="D69" s="89">
        <v>939995</v>
      </c>
      <c r="E69" s="89" t="s">
        <v>450</v>
      </c>
      <c r="F69" s="89" t="s">
        <v>451</v>
      </c>
      <c r="G69" s="89" t="s">
        <v>452</v>
      </c>
      <c r="H69" s="89" t="s">
        <v>393</v>
      </c>
      <c r="I69" s="214" t="s">
        <v>455</v>
      </c>
      <c r="J69" s="250">
        <f t="shared" si="3"/>
        <v>2896899</v>
      </c>
      <c r="K69" s="249"/>
    </row>
    <row r="70" spans="1:11" ht="15" hidden="1" x14ac:dyDescent="0.25">
      <c r="A70" s="116"/>
      <c r="B70" s="95" t="s">
        <v>192</v>
      </c>
      <c r="C70" s="89" t="s">
        <v>393</v>
      </c>
      <c r="D70" s="89" t="s">
        <v>449</v>
      </c>
      <c r="E70" s="89" t="s">
        <v>450</v>
      </c>
      <c r="F70" s="89" t="s">
        <v>451</v>
      </c>
      <c r="G70" s="89" t="s">
        <v>452</v>
      </c>
      <c r="H70" s="89" t="s">
        <v>393</v>
      </c>
      <c r="I70" s="214" t="s">
        <v>455</v>
      </c>
      <c r="J70" s="89">
        <f t="shared" si="3"/>
        <v>0</v>
      </c>
      <c r="K70" s="249"/>
    </row>
    <row r="71" spans="1:11" ht="15" hidden="1" x14ac:dyDescent="0.25">
      <c r="A71" s="116"/>
      <c r="B71" s="95" t="s">
        <v>193</v>
      </c>
      <c r="C71" s="89" t="s">
        <v>393</v>
      </c>
      <c r="D71" s="89" t="s">
        <v>449</v>
      </c>
      <c r="E71" s="89" t="s">
        <v>450</v>
      </c>
      <c r="F71" s="89" t="s">
        <v>451</v>
      </c>
      <c r="G71" s="89" t="s">
        <v>452</v>
      </c>
      <c r="H71" s="89" t="s">
        <v>393</v>
      </c>
      <c r="I71" s="214" t="s">
        <v>455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89" t="s">
        <v>393</v>
      </c>
      <c r="D72" s="89" t="s">
        <v>449</v>
      </c>
      <c r="E72" s="89" t="s">
        <v>450</v>
      </c>
      <c r="F72" s="89" t="s">
        <v>451</v>
      </c>
      <c r="G72" s="89" t="s">
        <v>452</v>
      </c>
      <c r="H72" s="89" t="s">
        <v>393</v>
      </c>
      <c r="I72" s="214" t="s">
        <v>455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89" t="s">
        <v>393</v>
      </c>
      <c r="D73" s="89" t="s">
        <v>449</v>
      </c>
      <c r="E73" s="89" t="s">
        <v>450</v>
      </c>
      <c r="F73" s="89" t="s">
        <v>451</v>
      </c>
      <c r="G73" s="89" t="s">
        <v>452</v>
      </c>
      <c r="H73" s="89" t="s">
        <v>393</v>
      </c>
      <c r="I73" s="214" t="s">
        <v>455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89" t="s">
        <v>393</v>
      </c>
      <c r="D74" s="89" t="s">
        <v>449</v>
      </c>
      <c r="E74" s="89" t="s">
        <v>450</v>
      </c>
      <c r="F74" s="89" t="s">
        <v>451</v>
      </c>
      <c r="G74" s="89" t="s">
        <v>452</v>
      </c>
      <c r="H74" s="89" t="s">
        <v>393</v>
      </c>
      <c r="I74" s="214" t="s">
        <v>455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89" t="s">
        <v>393</v>
      </c>
      <c r="D75" s="89" t="s">
        <v>449</v>
      </c>
      <c r="E75" s="89" t="s">
        <v>450</v>
      </c>
      <c r="F75" s="89" t="s">
        <v>451</v>
      </c>
      <c r="G75" s="89" t="s">
        <v>452</v>
      </c>
      <c r="H75" s="89" t="s">
        <v>393</v>
      </c>
      <c r="I75" s="214" t="s">
        <v>455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198</v>
      </c>
      <c r="C76" s="89" t="s">
        <v>393</v>
      </c>
      <c r="D76" s="89" t="s">
        <v>449</v>
      </c>
      <c r="E76" s="89" t="s">
        <v>450</v>
      </c>
      <c r="F76" s="89" t="s">
        <v>451</v>
      </c>
      <c r="G76" s="89" t="s">
        <v>452</v>
      </c>
      <c r="H76" s="89" t="s">
        <v>393</v>
      </c>
      <c r="I76" s="214" t="s">
        <v>455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199</v>
      </c>
      <c r="C77" s="89" t="s">
        <v>393</v>
      </c>
      <c r="D77" s="89" t="s">
        <v>449</v>
      </c>
      <c r="E77" s="89" t="s">
        <v>450</v>
      </c>
      <c r="F77" s="89" t="s">
        <v>451</v>
      </c>
      <c r="G77" s="89" t="s">
        <v>452</v>
      </c>
      <c r="H77" s="89" t="s">
        <v>393</v>
      </c>
      <c r="I77" s="214" t="s">
        <v>455</v>
      </c>
      <c r="J77" s="89">
        <f t="shared" si="3"/>
        <v>0</v>
      </c>
      <c r="K77" s="249"/>
    </row>
    <row r="78" spans="1:11" ht="15" hidden="1" x14ac:dyDescent="0.25">
      <c r="A78" s="116"/>
      <c r="B78" s="95" t="s">
        <v>173</v>
      </c>
      <c r="C78" s="89"/>
      <c r="D78" s="89"/>
      <c r="E78" s="89"/>
      <c r="F78" s="89"/>
      <c r="G78" s="89"/>
      <c r="H78" s="89"/>
      <c r="I78" s="214"/>
      <c r="J78" s="89"/>
      <c r="K78" s="249"/>
    </row>
    <row r="79" spans="1:11" ht="15" hidden="1" x14ac:dyDescent="0.25">
      <c r="A79" s="116"/>
      <c r="B79" s="95" t="s">
        <v>200</v>
      </c>
      <c r="C79" s="89" t="s">
        <v>393</v>
      </c>
      <c r="D79" s="89" t="s">
        <v>449</v>
      </c>
      <c r="E79" s="89" t="s">
        <v>450</v>
      </c>
      <c r="F79" s="89" t="s">
        <v>451</v>
      </c>
      <c r="G79" s="89" t="s">
        <v>452</v>
      </c>
      <c r="H79" s="89" t="s">
        <v>393</v>
      </c>
      <c r="I79" s="214" t="s">
        <v>455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201</v>
      </c>
      <c r="C80" s="89" t="s">
        <v>393</v>
      </c>
      <c r="D80" s="89" t="s">
        <v>449</v>
      </c>
      <c r="E80" s="89" t="s">
        <v>450</v>
      </c>
      <c r="F80" s="89" t="s">
        <v>451</v>
      </c>
      <c r="G80" s="89" t="s">
        <v>452</v>
      </c>
      <c r="H80" s="89" t="s">
        <v>393</v>
      </c>
      <c r="I80" s="214" t="s">
        <v>455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202</v>
      </c>
      <c r="C81" s="89" t="s">
        <v>393</v>
      </c>
      <c r="D81" s="89" t="s">
        <v>449</v>
      </c>
      <c r="E81" s="89" t="s">
        <v>450</v>
      </c>
      <c r="F81" s="89" t="s">
        <v>451</v>
      </c>
      <c r="G81" s="89" t="s">
        <v>452</v>
      </c>
      <c r="H81" s="89" t="s">
        <v>393</v>
      </c>
      <c r="I81" s="214" t="s">
        <v>455</v>
      </c>
      <c r="J81" s="89">
        <f t="shared" si="3"/>
        <v>0</v>
      </c>
      <c r="K81" s="249"/>
    </row>
    <row r="82" spans="1:12" ht="15" hidden="1" x14ac:dyDescent="0.25">
      <c r="A82" s="116"/>
      <c r="B82" s="95" t="s">
        <v>203</v>
      </c>
      <c r="C82" s="89" t="s">
        <v>393</v>
      </c>
      <c r="D82" s="89" t="s">
        <v>449</v>
      </c>
      <c r="E82" s="89" t="s">
        <v>450</v>
      </c>
      <c r="F82" s="89" t="s">
        <v>451</v>
      </c>
      <c r="G82" s="89" t="s">
        <v>452</v>
      </c>
      <c r="H82" s="89" t="s">
        <v>393</v>
      </c>
      <c r="I82" s="214" t="s">
        <v>455</v>
      </c>
      <c r="J82" s="89">
        <f t="shared" si="3"/>
        <v>0</v>
      </c>
      <c r="K82" s="249"/>
    </row>
    <row r="83" spans="1:12" ht="15" x14ac:dyDescent="0.25">
      <c r="A83" s="116"/>
      <c r="B83" s="95" t="s">
        <v>204</v>
      </c>
      <c r="C83" s="89" t="s">
        <v>393</v>
      </c>
      <c r="D83" s="89" t="s">
        <v>449</v>
      </c>
      <c r="E83" s="89" t="s">
        <v>450</v>
      </c>
      <c r="F83" s="89" t="s">
        <v>451</v>
      </c>
      <c r="G83" s="89" t="s">
        <v>452</v>
      </c>
      <c r="H83" s="89" t="s">
        <v>393</v>
      </c>
      <c r="I83" s="214">
        <v>6200000</v>
      </c>
      <c r="J83" s="250">
        <f t="shared" si="3"/>
        <v>6200000</v>
      </c>
      <c r="K83" s="249"/>
    </row>
    <row r="84" spans="1:12" ht="15" hidden="1" x14ac:dyDescent="0.25">
      <c r="A84" s="116"/>
      <c r="B84" s="95" t="s">
        <v>205</v>
      </c>
      <c r="C84" s="89" t="s">
        <v>393</v>
      </c>
      <c r="D84" s="89" t="s">
        <v>449</v>
      </c>
      <c r="E84" s="89" t="s">
        <v>450</v>
      </c>
      <c r="F84" s="89" t="s">
        <v>451</v>
      </c>
      <c r="G84" s="89" t="s">
        <v>452</v>
      </c>
      <c r="H84" s="89" t="s">
        <v>393</v>
      </c>
      <c r="I84" s="214" t="s">
        <v>455</v>
      </c>
      <c r="J84" s="89">
        <f t="shared" si="3"/>
        <v>0</v>
      </c>
      <c r="K84" s="249"/>
    </row>
    <row r="85" spans="1:12" hidden="1" x14ac:dyDescent="0.2">
      <c r="A85" s="116"/>
      <c r="B85" s="95" t="s">
        <v>206</v>
      </c>
      <c r="C85" s="89" t="s">
        <v>393</v>
      </c>
      <c r="D85" s="89" t="s">
        <v>449</v>
      </c>
      <c r="E85" s="89" t="s">
        <v>450</v>
      </c>
      <c r="F85" s="89" t="s">
        <v>451</v>
      </c>
      <c r="G85" s="89" t="s">
        <v>452</v>
      </c>
      <c r="H85" s="89" t="s">
        <v>393</v>
      </c>
      <c r="I85" s="214" t="s">
        <v>455</v>
      </c>
      <c r="J85" s="89">
        <f t="shared" si="3"/>
        <v>0</v>
      </c>
      <c r="K85" s="252"/>
    </row>
    <row r="86" spans="1:12" hidden="1" x14ac:dyDescent="0.2">
      <c r="A86" s="116"/>
      <c r="B86" s="95" t="s">
        <v>207</v>
      </c>
      <c r="C86" s="89" t="s">
        <v>393</v>
      </c>
      <c r="D86" s="89" t="s">
        <v>449</v>
      </c>
      <c r="E86" s="89" t="s">
        <v>450</v>
      </c>
      <c r="F86" s="89" t="s">
        <v>451</v>
      </c>
      <c r="G86" s="89" t="s">
        <v>452</v>
      </c>
      <c r="H86" s="89" t="s">
        <v>393</v>
      </c>
      <c r="I86" s="214" t="s">
        <v>455</v>
      </c>
      <c r="J86" s="89">
        <f t="shared" si="3"/>
        <v>0</v>
      </c>
      <c r="K86" s="252"/>
    </row>
    <row r="87" spans="1:12" ht="15" x14ac:dyDescent="0.25">
      <c r="A87" s="116"/>
      <c r="B87" s="95" t="s">
        <v>208</v>
      </c>
      <c r="C87" s="89" t="s">
        <v>393</v>
      </c>
      <c r="D87" s="89" t="s">
        <v>449</v>
      </c>
      <c r="E87" s="89" t="s">
        <v>450</v>
      </c>
      <c r="F87" s="89" t="s">
        <v>451</v>
      </c>
      <c r="G87" s="89" t="s">
        <v>452</v>
      </c>
      <c r="H87" s="89" t="s">
        <v>393</v>
      </c>
      <c r="I87" s="214">
        <v>200000</v>
      </c>
      <c r="J87" s="250">
        <f t="shared" si="3"/>
        <v>200000</v>
      </c>
      <c r="K87" s="249"/>
    </row>
    <row r="88" spans="1:12" ht="15" hidden="1" x14ac:dyDescent="0.25">
      <c r="A88" s="116"/>
      <c r="B88" s="95" t="s">
        <v>209</v>
      </c>
      <c r="C88" s="89" t="s">
        <v>393</v>
      </c>
      <c r="D88" s="89" t="s">
        <v>449</v>
      </c>
      <c r="E88" s="89" t="s">
        <v>450</v>
      </c>
      <c r="F88" s="89" t="s">
        <v>451</v>
      </c>
      <c r="G88" s="89" t="s">
        <v>452</v>
      </c>
      <c r="H88" s="89" t="s">
        <v>393</v>
      </c>
      <c r="I88" s="214" t="s">
        <v>455</v>
      </c>
      <c r="J88" s="89">
        <f t="shared" si="3"/>
        <v>0</v>
      </c>
      <c r="K88" s="249"/>
    </row>
    <row r="89" spans="1:12" ht="15" hidden="1" x14ac:dyDescent="0.25">
      <c r="A89" s="116"/>
      <c r="B89" s="95" t="s">
        <v>210</v>
      </c>
      <c r="C89" s="89" t="s">
        <v>393</v>
      </c>
      <c r="D89" s="89" t="s">
        <v>449</v>
      </c>
      <c r="E89" s="89" t="s">
        <v>450</v>
      </c>
      <c r="F89" s="89" t="s">
        <v>451</v>
      </c>
      <c r="G89" s="89" t="s">
        <v>452</v>
      </c>
      <c r="H89" s="89" t="s">
        <v>393</v>
      </c>
      <c r="I89" s="214" t="s">
        <v>455</v>
      </c>
      <c r="J89" s="89">
        <f t="shared" si="3"/>
        <v>0</v>
      </c>
      <c r="K89" s="249"/>
      <c r="L89" s="77"/>
    </row>
    <row r="90" spans="1:12" ht="15" hidden="1" x14ac:dyDescent="0.25">
      <c r="A90" s="116"/>
      <c r="B90" s="95" t="s">
        <v>211</v>
      </c>
      <c r="C90" s="89" t="s">
        <v>393</v>
      </c>
      <c r="D90" s="89" t="s">
        <v>449</v>
      </c>
      <c r="E90" s="89" t="s">
        <v>450</v>
      </c>
      <c r="F90" s="89" t="s">
        <v>451</v>
      </c>
      <c r="G90" s="89" t="s">
        <v>452</v>
      </c>
      <c r="H90" s="89" t="s">
        <v>393</v>
      </c>
      <c r="I90" s="214" t="s">
        <v>455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212</v>
      </c>
      <c r="C91" s="89" t="s">
        <v>393</v>
      </c>
      <c r="D91" s="89" t="s">
        <v>449</v>
      </c>
      <c r="E91" s="89" t="s">
        <v>450</v>
      </c>
      <c r="F91" s="89" t="s">
        <v>451</v>
      </c>
      <c r="G91" s="89" t="s">
        <v>452</v>
      </c>
      <c r="H91" s="89" t="s">
        <v>393</v>
      </c>
      <c r="I91" s="214" t="s">
        <v>455</v>
      </c>
      <c r="J91" s="89">
        <f t="shared" si="3"/>
        <v>0</v>
      </c>
      <c r="K91" s="249"/>
      <c r="L91" s="77"/>
    </row>
    <row r="92" spans="1:12" ht="15" hidden="1" x14ac:dyDescent="0.25">
      <c r="A92" s="116"/>
      <c r="B92" s="95" t="s">
        <v>213</v>
      </c>
      <c r="C92" s="89" t="s">
        <v>393</v>
      </c>
      <c r="D92" s="89" t="s">
        <v>449</v>
      </c>
      <c r="E92" s="89" t="s">
        <v>450</v>
      </c>
      <c r="F92" s="89" t="s">
        <v>451</v>
      </c>
      <c r="G92" s="89" t="s">
        <v>452</v>
      </c>
      <c r="H92" s="89" t="s">
        <v>393</v>
      </c>
      <c r="I92" s="214" t="s">
        <v>455</v>
      </c>
      <c r="J92" s="89">
        <f t="shared" si="3"/>
        <v>0</v>
      </c>
      <c r="K92" s="249"/>
      <c r="L92" s="77"/>
    </row>
    <row r="93" spans="1:12" x14ac:dyDescent="0.2">
      <c r="A93" s="116"/>
      <c r="B93" s="95" t="s">
        <v>214</v>
      </c>
      <c r="C93" s="89" t="s">
        <v>393</v>
      </c>
      <c r="D93" s="89" t="s">
        <v>449</v>
      </c>
      <c r="E93" s="89" t="s">
        <v>450</v>
      </c>
      <c r="F93" s="89" t="s">
        <v>451</v>
      </c>
      <c r="G93" s="89" t="s">
        <v>452</v>
      </c>
      <c r="H93" s="89" t="s">
        <v>393</v>
      </c>
      <c r="I93" s="214">
        <v>126976</v>
      </c>
      <c r="J93" s="250">
        <f t="shared" si="3"/>
        <v>126976</v>
      </c>
      <c r="K93" s="252"/>
    </row>
    <row r="94" spans="1:12" x14ac:dyDescent="0.2">
      <c r="A94" s="116"/>
      <c r="B94" s="95" t="s">
        <v>215</v>
      </c>
      <c r="C94" s="89" t="s">
        <v>393</v>
      </c>
      <c r="D94" s="89" t="s">
        <v>449</v>
      </c>
      <c r="E94" s="89" t="s">
        <v>450</v>
      </c>
      <c r="F94" s="89" t="s">
        <v>451</v>
      </c>
      <c r="G94" s="89" t="s">
        <v>452</v>
      </c>
      <c r="H94" s="89">
        <v>315613</v>
      </c>
      <c r="I94" s="214">
        <v>383733</v>
      </c>
      <c r="J94" s="250">
        <f t="shared" si="3"/>
        <v>699346</v>
      </c>
      <c r="K94" s="252"/>
    </row>
    <row r="95" spans="1:12" hidden="1" x14ac:dyDescent="0.2">
      <c r="A95" s="116"/>
      <c r="B95" s="95" t="s">
        <v>216</v>
      </c>
      <c r="C95" s="89" t="s">
        <v>393</v>
      </c>
      <c r="D95" s="89" t="s">
        <v>449</v>
      </c>
      <c r="E95" s="89" t="s">
        <v>450</v>
      </c>
      <c r="F95" s="89" t="s">
        <v>451</v>
      </c>
      <c r="G95" s="89" t="s">
        <v>452</v>
      </c>
      <c r="H95" s="89" t="s">
        <v>393</v>
      </c>
      <c r="I95" s="214" t="s">
        <v>455</v>
      </c>
      <c r="J95" s="89">
        <f t="shared" si="3"/>
        <v>0</v>
      </c>
      <c r="K95" s="252"/>
    </row>
    <row r="96" spans="1:12" hidden="1" x14ac:dyDescent="0.2">
      <c r="A96" s="116"/>
      <c r="B96" s="95" t="s">
        <v>217</v>
      </c>
      <c r="C96" s="89" t="s">
        <v>393</v>
      </c>
      <c r="D96" s="89" t="s">
        <v>449</v>
      </c>
      <c r="E96" s="89" t="s">
        <v>450</v>
      </c>
      <c r="F96" s="89" t="s">
        <v>451</v>
      </c>
      <c r="G96" s="89" t="s">
        <v>452</v>
      </c>
      <c r="H96" s="89" t="s">
        <v>393</v>
      </c>
      <c r="I96" s="214" t="s">
        <v>455</v>
      </c>
      <c r="J96" s="89">
        <f t="shared" si="3"/>
        <v>0</v>
      </c>
      <c r="K96" s="252"/>
    </row>
    <row r="97" spans="1:11" x14ac:dyDescent="0.2">
      <c r="A97" s="116"/>
      <c r="B97" s="95" t="s">
        <v>218</v>
      </c>
      <c r="C97" s="89" t="s">
        <v>393</v>
      </c>
      <c r="D97" s="89" t="s">
        <v>449</v>
      </c>
      <c r="E97" s="89" t="s">
        <v>450</v>
      </c>
      <c r="F97" s="89" t="s">
        <v>451</v>
      </c>
      <c r="G97" s="89" t="s">
        <v>452</v>
      </c>
      <c r="H97" s="89">
        <v>206696</v>
      </c>
      <c r="I97" s="214">
        <v>2949000</v>
      </c>
      <c r="J97" s="250">
        <f t="shared" si="3"/>
        <v>3155696</v>
      </c>
      <c r="K97" s="252"/>
    </row>
    <row r="98" spans="1:11" hidden="1" x14ac:dyDescent="0.2">
      <c r="A98" s="116"/>
      <c r="B98" s="95" t="s">
        <v>219</v>
      </c>
      <c r="C98" s="89" t="s">
        <v>393</v>
      </c>
      <c r="D98" s="89" t="s">
        <v>449</v>
      </c>
      <c r="E98" s="89" t="s">
        <v>450</v>
      </c>
      <c r="F98" s="89" t="s">
        <v>451</v>
      </c>
      <c r="G98" s="89" t="s">
        <v>452</v>
      </c>
      <c r="H98" s="89" t="s">
        <v>393</v>
      </c>
      <c r="I98" s="214" t="s">
        <v>455</v>
      </c>
      <c r="J98" s="89">
        <f t="shared" si="3"/>
        <v>0</v>
      </c>
      <c r="K98" s="252"/>
    </row>
    <row r="99" spans="1:11" ht="15" hidden="1" x14ac:dyDescent="0.25">
      <c r="A99" s="251"/>
      <c r="B99" s="100" t="s">
        <v>220</v>
      </c>
      <c r="C99" s="89" t="s">
        <v>393</v>
      </c>
      <c r="D99" s="89" t="s">
        <v>449</v>
      </c>
      <c r="E99" s="89" t="s">
        <v>450</v>
      </c>
      <c r="F99" s="89" t="s">
        <v>451</v>
      </c>
      <c r="G99" s="89" t="s">
        <v>452</v>
      </c>
      <c r="H99" s="89" t="s">
        <v>393</v>
      </c>
      <c r="I99" s="214" t="s">
        <v>455</v>
      </c>
      <c r="J99" s="89">
        <f t="shared" si="3"/>
        <v>0</v>
      </c>
      <c r="K99" s="249"/>
    </row>
    <row r="100" spans="1:11" ht="15" hidden="1" x14ac:dyDescent="0.25">
      <c r="A100" s="251"/>
      <c r="B100" s="100" t="s">
        <v>221</v>
      </c>
      <c r="C100" s="89" t="s">
        <v>393</v>
      </c>
      <c r="D100" s="89" t="s">
        <v>449</v>
      </c>
      <c r="E100" s="89" t="s">
        <v>450</v>
      </c>
      <c r="F100" s="89" t="s">
        <v>451</v>
      </c>
      <c r="G100" s="89" t="s">
        <v>452</v>
      </c>
      <c r="H100" s="89" t="s">
        <v>393</v>
      </c>
      <c r="I100" s="214" t="s">
        <v>455</v>
      </c>
      <c r="J100" s="89">
        <f t="shared" si="3"/>
        <v>0</v>
      </c>
      <c r="K100" s="249"/>
    </row>
    <row r="101" spans="1:11" x14ac:dyDescent="0.2">
      <c r="A101" s="210" t="s">
        <v>10</v>
      </c>
      <c r="B101" s="211" t="s">
        <v>142</v>
      </c>
      <c r="C101" s="253">
        <v>790772</v>
      </c>
      <c r="D101" s="253">
        <v>314489</v>
      </c>
      <c r="E101" s="253">
        <v>242339</v>
      </c>
      <c r="F101" s="253" t="s">
        <v>451</v>
      </c>
      <c r="G101" s="253" t="s">
        <v>452</v>
      </c>
      <c r="H101" s="253" t="s">
        <v>393</v>
      </c>
      <c r="I101" s="254" t="s">
        <v>455</v>
      </c>
      <c r="J101" s="250">
        <f t="shared" si="3"/>
        <v>1347600</v>
      </c>
      <c r="K101" s="255"/>
    </row>
    <row r="102" spans="1:11" x14ac:dyDescent="0.2">
      <c r="A102" s="210" t="s">
        <v>10</v>
      </c>
      <c r="B102" s="211" t="s">
        <v>141</v>
      </c>
      <c r="C102" s="253">
        <v>430535</v>
      </c>
      <c r="D102" s="253">
        <v>266458</v>
      </c>
      <c r="E102" s="253">
        <v>69887</v>
      </c>
      <c r="F102" s="253" t="s">
        <v>451</v>
      </c>
      <c r="G102" s="253" t="s">
        <v>452</v>
      </c>
      <c r="H102" s="253" t="s">
        <v>393</v>
      </c>
      <c r="I102" s="254" t="s">
        <v>455</v>
      </c>
      <c r="J102" s="256">
        <f t="shared" si="3"/>
        <v>766880</v>
      </c>
      <c r="K102" s="255"/>
    </row>
    <row r="103" spans="1:11" x14ac:dyDescent="0.2">
      <c r="A103" s="210" t="s">
        <v>33</v>
      </c>
      <c r="B103" s="211" t="s">
        <v>222</v>
      </c>
      <c r="C103" s="253">
        <v>443788</v>
      </c>
      <c r="D103" s="253">
        <v>323171</v>
      </c>
      <c r="E103" s="253" t="s">
        <v>450</v>
      </c>
      <c r="F103" s="253" t="s">
        <v>451</v>
      </c>
      <c r="G103" s="253" t="s">
        <v>452</v>
      </c>
      <c r="H103" s="253" t="s">
        <v>393</v>
      </c>
      <c r="I103" s="254">
        <v>305000</v>
      </c>
      <c r="J103" s="250">
        <f t="shared" si="3"/>
        <v>1071959</v>
      </c>
      <c r="K103" s="255"/>
    </row>
    <row r="104" spans="1:11" x14ac:dyDescent="0.2">
      <c r="A104" s="210" t="s">
        <v>10</v>
      </c>
      <c r="B104" s="211" t="s">
        <v>138</v>
      </c>
      <c r="C104" s="253">
        <v>147886</v>
      </c>
      <c r="D104" s="253">
        <v>40752</v>
      </c>
      <c r="E104" s="253">
        <v>168068</v>
      </c>
      <c r="F104" s="253" t="s">
        <v>451</v>
      </c>
      <c r="G104" s="253" t="s">
        <v>452</v>
      </c>
      <c r="H104" s="253" t="s">
        <v>393</v>
      </c>
      <c r="I104" s="254" t="s">
        <v>455</v>
      </c>
      <c r="J104" s="256">
        <f t="shared" si="3"/>
        <v>356706</v>
      </c>
      <c r="K104" s="255"/>
    </row>
    <row r="105" spans="1:11" x14ac:dyDescent="0.2">
      <c r="A105" s="210" t="s">
        <v>10</v>
      </c>
      <c r="B105" s="211" t="s">
        <v>136</v>
      </c>
      <c r="C105" s="253">
        <v>6953366</v>
      </c>
      <c r="D105" s="253">
        <v>3649841</v>
      </c>
      <c r="E105" s="253">
        <v>1405000</v>
      </c>
      <c r="F105" s="253" t="s">
        <v>451</v>
      </c>
      <c r="G105" s="253" t="s">
        <v>452</v>
      </c>
      <c r="H105" s="253">
        <v>848907</v>
      </c>
      <c r="I105" s="254" t="s">
        <v>455</v>
      </c>
      <c r="J105" s="250">
        <f t="shared" si="3"/>
        <v>12857114</v>
      </c>
      <c r="K105" s="255"/>
    </row>
    <row r="106" spans="1:11" hidden="1" x14ac:dyDescent="0.2">
      <c r="A106" s="257"/>
      <c r="B106" s="95" t="s">
        <v>223</v>
      </c>
      <c r="C106" s="89" t="s">
        <v>393</v>
      </c>
      <c r="D106" s="89" t="s">
        <v>449</v>
      </c>
      <c r="E106" s="89" t="s">
        <v>450</v>
      </c>
      <c r="F106" s="89" t="s">
        <v>451</v>
      </c>
      <c r="G106" s="89" t="s">
        <v>452</v>
      </c>
      <c r="H106" s="89" t="s">
        <v>393</v>
      </c>
      <c r="I106" s="214" t="s">
        <v>455</v>
      </c>
      <c r="J106" s="89">
        <f t="shared" si="3"/>
        <v>0</v>
      </c>
      <c r="K106" s="252"/>
    </row>
    <row r="107" spans="1:11" hidden="1" x14ac:dyDescent="0.2">
      <c r="A107" s="257"/>
      <c r="B107" s="95" t="s">
        <v>224</v>
      </c>
      <c r="C107" s="89" t="s">
        <v>393</v>
      </c>
      <c r="D107" s="89" t="s">
        <v>449</v>
      </c>
      <c r="E107" s="89" t="s">
        <v>450</v>
      </c>
      <c r="F107" s="89" t="s">
        <v>451</v>
      </c>
      <c r="G107" s="89" t="s">
        <v>452</v>
      </c>
      <c r="H107" s="89" t="s">
        <v>393</v>
      </c>
      <c r="I107" s="214" t="s">
        <v>455</v>
      </c>
      <c r="J107" s="89">
        <f t="shared" si="3"/>
        <v>0</v>
      </c>
      <c r="K107" s="252"/>
    </row>
    <row r="108" spans="1:11" hidden="1" x14ac:dyDescent="0.2">
      <c r="A108" s="257"/>
      <c r="B108" s="95" t="s">
        <v>225</v>
      </c>
      <c r="C108" s="89" t="s">
        <v>393</v>
      </c>
      <c r="D108" s="89" t="s">
        <v>449</v>
      </c>
      <c r="E108" s="89" t="s">
        <v>450</v>
      </c>
      <c r="F108" s="89" t="s">
        <v>451</v>
      </c>
      <c r="G108" s="89" t="s">
        <v>452</v>
      </c>
      <c r="H108" s="89" t="s">
        <v>393</v>
      </c>
      <c r="I108" s="214" t="s">
        <v>455</v>
      </c>
      <c r="J108" s="89">
        <f t="shared" si="3"/>
        <v>0</v>
      </c>
      <c r="K108" s="252"/>
    </row>
    <row r="109" spans="1:11" hidden="1" x14ac:dyDescent="0.2">
      <c r="A109" s="257"/>
      <c r="B109" s="95" t="s">
        <v>226</v>
      </c>
      <c r="C109" s="89" t="s">
        <v>393</v>
      </c>
      <c r="D109" s="89" t="s">
        <v>449</v>
      </c>
      <c r="E109" s="89" t="s">
        <v>450</v>
      </c>
      <c r="F109" s="89" t="s">
        <v>451</v>
      </c>
      <c r="G109" s="89" t="s">
        <v>452</v>
      </c>
      <c r="H109" s="89" t="s">
        <v>393</v>
      </c>
      <c r="I109" s="214" t="s">
        <v>455</v>
      </c>
      <c r="J109" s="89">
        <f t="shared" si="3"/>
        <v>0</v>
      </c>
      <c r="K109" s="252"/>
    </row>
    <row r="110" spans="1:11" ht="15" hidden="1" x14ac:dyDescent="0.25">
      <c r="A110" s="116"/>
      <c r="B110" s="95" t="s">
        <v>227</v>
      </c>
      <c r="C110" s="89" t="s">
        <v>393</v>
      </c>
      <c r="D110" s="89" t="s">
        <v>449</v>
      </c>
      <c r="E110" s="89" t="s">
        <v>450</v>
      </c>
      <c r="F110" s="89" t="s">
        <v>451</v>
      </c>
      <c r="G110" s="89" t="s">
        <v>452</v>
      </c>
      <c r="H110" s="89" t="s">
        <v>393</v>
      </c>
      <c r="I110" s="214" t="s">
        <v>455</v>
      </c>
      <c r="J110" s="89">
        <f t="shared" si="3"/>
        <v>0</v>
      </c>
      <c r="K110" s="249"/>
    </row>
    <row r="111" spans="1:11" ht="15" hidden="1" x14ac:dyDescent="0.25">
      <c r="A111" s="116"/>
      <c r="B111" s="95" t="s">
        <v>228</v>
      </c>
      <c r="C111" s="89" t="s">
        <v>393</v>
      </c>
      <c r="D111" s="89" t="s">
        <v>449</v>
      </c>
      <c r="E111" s="89" t="s">
        <v>450</v>
      </c>
      <c r="F111" s="89" t="s">
        <v>451</v>
      </c>
      <c r="G111" s="89" t="s">
        <v>452</v>
      </c>
      <c r="H111" s="89" t="s">
        <v>393</v>
      </c>
      <c r="I111" s="214" t="s">
        <v>455</v>
      </c>
      <c r="J111" s="89">
        <f t="shared" si="3"/>
        <v>0</v>
      </c>
      <c r="K111" s="249"/>
    </row>
    <row r="112" spans="1:11" ht="15" hidden="1" x14ac:dyDescent="0.25">
      <c r="A112" s="116"/>
      <c r="B112" s="95" t="s">
        <v>229</v>
      </c>
      <c r="C112" s="89" t="s">
        <v>393</v>
      </c>
      <c r="D112" s="89" t="s">
        <v>449</v>
      </c>
      <c r="E112" s="89" t="s">
        <v>450</v>
      </c>
      <c r="F112" s="89" t="s">
        <v>451</v>
      </c>
      <c r="G112" s="89" t="s">
        <v>452</v>
      </c>
      <c r="H112" s="89" t="s">
        <v>393</v>
      </c>
      <c r="I112" s="214" t="s">
        <v>455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230</v>
      </c>
      <c r="C113" s="89" t="s">
        <v>393</v>
      </c>
      <c r="D113" s="89" t="s">
        <v>449</v>
      </c>
      <c r="E113" s="89" t="s">
        <v>450</v>
      </c>
      <c r="F113" s="89" t="s">
        <v>451</v>
      </c>
      <c r="G113" s="89" t="s">
        <v>452</v>
      </c>
      <c r="H113" s="89" t="s">
        <v>393</v>
      </c>
      <c r="I113" s="214" t="s">
        <v>455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231</v>
      </c>
      <c r="C114" s="89" t="s">
        <v>393</v>
      </c>
      <c r="D114" s="89" t="s">
        <v>449</v>
      </c>
      <c r="E114" s="89" t="s">
        <v>450</v>
      </c>
      <c r="F114" s="89" t="s">
        <v>451</v>
      </c>
      <c r="G114" s="89" t="s">
        <v>452</v>
      </c>
      <c r="H114" s="89" t="s">
        <v>393</v>
      </c>
      <c r="I114" s="214" t="s">
        <v>455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232</v>
      </c>
      <c r="C115" s="89" t="s">
        <v>393</v>
      </c>
      <c r="D115" s="89" t="s">
        <v>449</v>
      </c>
      <c r="E115" s="89" t="s">
        <v>450</v>
      </c>
      <c r="F115" s="89" t="s">
        <v>451</v>
      </c>
      <c r="G115" s="89" t="s">
        <v>452</v>
      </c>
      <c r="H115" s="89" t="s">
        <v>393</v>
      </c>
      <c r="I115" s="214" t="s">
        <v>455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233</v>
      </c>
      <c r="C116" s="89" t="s">
        <v>393</v>
      </c>
      <c r="D116" s="89" t="s">
        <v>449</v>
      </c>
      <c r="E116" s="89" t="s">
        <v>450</v>
      </c>
      <c r="F116" s="89" t="s">
        <v>451</v>
      </c>
      <c r="G116" s="89" t="s">
        <v>452</v>
      </c>
      <c r="H116" s="89" t="s">
        <v>393</v>
      </c>
      <c r="I116" s="214" t="s">
        <v>455</v>
      </c>
      <c r="J116" s="89">
        <f t="shared" si="3"/>
        <v>0</v>
      </c>
      <c r="K116" s="249"/>
    </row>
    <row r="117" spans="1:11" ht="15" hidden="1" x14ac:dyDescent="0.25">
      <c r="A117" s="116"/>
      <c r="B117" s="95" t="s">
        <v>234</v>
      </c>
      <c r="C117" s="89" t="s">
        <v>393</v>
      </c>
      <c r="D117" s="89" t="s">
        <v>449</v>
      </c>
      <c r="E117" s="89" t="s">
        <v>450</v>
      </c>
      <c r="F117" s="89" t="s">
        <v>451</v>
      </c>
      <c r="G117" s="89" t="s">
        <v>452</v>
      </c>
      <c r="H117" s="89" t="s">
        <v>393</v>
      </c>
      <c r="I117" s="214" t="s">
        <v>455</v>
      </c>
      <c r="J117" s="89">
        <f t="shared" si="3"/>
        <v>0</v>
      </c>
      <c r="K117" s="249"/>
    </row>
    <row r="118" spans="1:11" ht="15" hidden="1" x14ac:dyDescent="0.25">
      <c r="A118" s="116"/>
      <c r="B118" s="95" t="s">
        <v>9</v>
      </c>
      <c r="C118" s="89" t="s">
        <v>393</v>
      </c>
      <c r="D118" s="89" t="s">
        <v>449</v>
      </c>
      <c r="E118" s="89" t="s">
        <v>450</v>
      </c>
      <c r="F118" s="89" t="s">
        <v>451</v>
      </c>
      <c r="G118" s="89" t="s">
        <v>452</v>
      </c>
      <c r="H118" s="89" t="s">
        <v>393</v>
      </c>
      <c r="I118" s="214" t="s">
        <v>455</v>
      </c>
      <c r="J118" s="89">
        <f t="shared" si="3"/>
        <v>0</v>
      </c>
      <c r="K118" s="249"/>
    </row>
    <row r="119" spans="1:11" ht="15" hidden="1" x14ac:dyDescent="0.25">
      <c r="A119" s="116"/>
      <c r="B119" s="95" t="s">
        <v>235</v>
      </c>
      <c r="C119" s="89" t="s">
        <v>393</v>
      </c>
      <c r="D119" s="89" t="s">
        <v>449</v>
      </c>
      <c r="E119" s="89" t="s">
        <v>450</v>
      </c>
      <c r="F119" s="89" t="s">
        <v>451</v>
      </c>
      <c r="G119" s="89" t="s">
        <v>452</v>
      </c>
      <c r="H119" s="89" t="s">
        <v>393</v>
      </c>
      <c r="I119" s="214" t="s">
        <v>455</v>
      </c>
      <c r="J119" s="89">
        <f t="shared" si="3"/>
        <v>0</v>
      </c>
      <c r="K119" s="249"/>
    </row>
    <row r="120" spans="1:11" ht="15" x14ac:dyDescent="0.25">
      <c r="A120" s="116"/>
      <c r="B120" s="95" t="s">
        <v>236</v>
      </c>
      <c r="C120" s="89" t="s">
        <v>393</v>
      </c>
      <c r="D120" s="89" t="s">
        <v>449</v>
      </c>
      <c r="E120" s="89" t="s">
        <v>450</v>
      </c>
      <c r="F120" s="89" t="s">
        <v>451</v>
      </c>
      <c r="G120" s="89" t="s">
        <v>452</v>
      </c>
      <c r="H120" s="89" t="s">
        <v>393</v>
      </c>
      <c r="I120" s="214">
        <v>1845659</v>
      </c>
      <c r="J120" s="256">
        <f t="shared" si="3"/>
        <v>1845659</v>
      </c>
      <c r="K120" s="249"/>
    </row>
    <row r="121" spans="1:11" ht="15" hidden="1" x14ac:dyDescent="0.25">
      <c r="A121" s="116"/>
      <c r="B121" s="95" t="s">
        <v>237</v>
      </c>
      <c r="C121" s="89" t="s">
        <v>393</v>
      </c>
      <c r="D121" s="89" t="s">
        <v>449</v>
      </c>
      <c r="E121" s="89" t="s">
        <v>450</v>
      </c>
      <c r="F121" s="89" t="s">
        <v>451</v>
      </c>
      <c r="G121" s="89" t="s">
        <v>452</v>
      </c>
      <c r="H121" s="89" t="s">
        <v>393</v>
      </c>
      <c r="I121" s="214" t="s">
        <v>455</v>
      </c>
      <c r="J121" s="89">
        <f t="shared" si="3"/>
        <v>0</v>
      </c>
      <c r="K121" s="249"/>
    </row>
    <row r="122" spans="1:11" ht="15" hidden="1" x14ac:dyDescent="0.25">
      <c r="A122" s="116"/>
      <c r="B122" s="95" t="s">
        <v>238</v>
      </c>
      <c r="C122" s="89" t="s">
        <v>393</v>
      </c>
      <c r="D122" s="89" t="s">
        <v>449</v>
      </c>
      <c r="E122" s="89" t="s">
        <v>450</v>
      </c>
      <c r="F122" s="89" t="s">
        <v>451</v>
      </c>
      <c r="G122" s="89" t="s">
        <v>452</v>
      </c>
      <c r="H122" s="89" t="s">
        <v>393</v>
      </c>
      <c r="I122" s="214" t="s">
        <v>455</v>
      </c>
      <c r="J122" s="89">
        <f t="shared" si="3"/>
        <v>0</v>
      </c>
      <c r="K122" s="249"/>
    </row>
    <row r="123" spans="1:11" ht="15" x14ac:dyDescent="0.25">
      <c r="A123" s="251"/>
      <c r="B123" s="100" t="s">
        <v>239</v>
      </c>
      <c r="C123" s="89" t="s">
        <v>393</v>
      </c>
      <c r="D123" s="89" t="s">
        <v>449</v>
      </c>
      <c r="E123" s="89" t="s">
        <v>450</v>
      </c>
      <c r="F123" s="89" t="s">
        <v>451</v>
      </c>
      <c r="G123" s="89" t="s">
        <v>452</v>
      </c>
      <c r="H123" s="89">
        <v>5884</v>
      </c>
      <c r="I123" s="214">
        <v>72000</v>
      </c>
      <c r="J123" s="250">
        <f t="shared" si="3"/>
        <v>77884</v>
      </c>
      <c r="K123" s="249"/>
    </row>
    <row r="124" spans="1:11" ht="15" hidden="1" x14ac:dyDescent="0.25">
      <c r="A124" s="251"/>
      <c r="B124" s="100" t="s">
        <v>240</v>
      </c>
      <c r="C124" s="89" t="s">
        <v>393</v>
      </c>
      <c r="D124" s="89" t="s">
        <v>449</v>
      </c>
      <c r="E124" s="89" t="s">
        <v>450</v>
      </c>
      <c r="F124" s="89" t="s">
        <v>451</v>
      </c>
      <c r="G124" s="89" t="s">
        <v>452</v>
      </c>
      <c r="H124" s="89" t="s">
        <v>393</v>
      </c>
      <c r="I124" s="214" t="s">
        <v>455</v>
      </c>
      <c r="J124" s="89">
        <f t="shared" si="3"/>
        <v>0</v>
      </c>
      <c r="K124" s="249"/>
    </row>
    <row r="125" spans="1:11" ht="15" hidden="1" x14ac:dyDescent="0.25">
      <c r="A125" s="251"/>
      <c r="B125" s="100" t="s">
        <v>241</v>
      </c>
      <c r="C125" s="89" t="s">
        <v>393</v>
      </c>
      <c r="D125" s="89" t="s">
        <v>449</v>
      </c>
      <c r="E125" s="89" t="s">
        <v>450</v>
      </c>
      <c r="F125" s="89" t="s">
        <v>451</v>
      </c>
      <c r="G125" s="89" t="s">
        <v>452</v>
      </c>
      <c r="H125" s="89" t="s">
        <v>393</v>
      </c>
      <c r="I125" s="214" t="s">
        <v>455</v>
      </c>
      <c r="J125" s="89">
        <f t="shared" si="3"/>
        <v>0</v>
      </c>
      <c r="K125" s="249"/>
    </row>
    <row r="126" spans="1:11" ht="15" hidden="1" x14ac:dyDescent="0.25">
      <c r="A126" s="258"/>
      <c r="B126" s="244" t="s">
        <v>242</v>
      </c>
      <c r="C126" s="89" t="s">
        <v>393</v>
      </c>
      <c r="D126" s="89" t="s">
        <v>449</v>
      </c>
      <c r="E126" s="89" t="s">
        <v>450</v>
      </c>
      <c r="F126" s="89" t="s">
        <v>451</v>
      </c>
      <c r="G126" s="89" t="s">
        <v>452</v>
      </c>
      <c r="H126" s="89" t="s">
        <v>393</v>
      </c>
      <c r="I126" s="214" t="s">
        <v>455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243</v>
      </c>
      <c r="C127" s="89" t="s">
        <v>393</v>
      </c>
      <c r="D127" s="89" t="s">
        <v>449</v>
      </c>
      <c r="E127" s="89" t="s">
        <v>450</v>
      </c>
      <c r="F127" s="89" t="s">
        <v>451</v>
      </c>
      <c r="G127" s="89" t="s">
        <v>452</v>
      </c>
      <c r="H127" s="89" t="s">
        <v>393</v>
      </c>
      <c r="I127" s="214" t="s">
        <v>455</v>
      </c>
      <c r="J127" s="250">
        <f t="shared" si="3"/>
        <v>0</v>
      </c>
      <c r="K127" s="249"/>
    </row>
    <row r="128" spans="1:11" ht="15" hidden="1" x14ac:dyDescent="0.25">
      <c r="A128" s="251"/>
      <c r="B128" s="100" t="s">
        <v>244</v>
      </c>
      <c r="C128" s="89" t="s">
        <v>393</v>
      </c>
      <c r="D128" s="89" t="s">
        <v>449</v>
      </c>
      <c r="E128" s="89" t="s">
        <v>450</v>
      </c>
      <c r="F128" s="89" t="s">
        <v>451</v>
      </c>
      <c r="G128" s="89" t="s">
        <v>452</v>
      </c>
      <c r="H128" s="89" t="s">
        <v>393</v>
      </c>
      <c r="I128" s="214" t="s">
        <v>455</v>
      </c>
      <c r="J128" s="89">
        <f t="shared" si="3"/>
        <v>0</v>
      </c>
      <c r="K128" s="249"/>
    </row>
    <row r="129" spans="1:11" ht="15" hidden="1" x14ac:dyDescent="0.25">
      <c r="B129" s="260" t="s">
        <v>245</v>
      </c>
      <c r="C129" s="89"/>
      <c r="D129" s="89"/>
      <c r="E129" s="89"/>
      <c r="F129" s="89"/>
      <c r="G129" s="89"/>
      <c r="H129" s="89"/>
      <c r="I129" s="214"/>
      <c r="J129" s="89"/>
      <c r="K129" s="249"/>
    </row>
    <row r="130" spans="1:11" ht="15" hidden="1" x14ac:dyDescent="0.25">
      <c r="A130" s="116"/>
      <c r="B130" s="95" t="s">
        <v>246</v>
      </c>
      <c r="C130" s="89" t="s">
        <v>393</v>
      </c>
      <c r="D130" s="89" t="s">
        <v>449</v>
      </c>
      <c r="E130" s="89" t="s">
        <v>450</v>
      </c>
      <c r="F130" s="89" t="s">
        <v>451</v>
      </c>
      <c r="G130" s="89" t="s">
        <v>452</v>
      </c>
      <c r="H130" s="89" t="s">
        <v>393</v>
      </c>
      <c r="I130" s="214" t="s">
        <v>455</v>
      </c>
      <c r="J130" s="89">
        <f t="shared" si="3"/>
        <v>0</v>
      </c>
      <c r="K130" s="249"/>
    </row>
    <row r="131" spans="1:11" hidden="1" x14ac:dyDescent="0.2">
      <c r="A131" s="251"/>
      <c r="B131" s="100" t="s">
        <v>247</v>
      </c>
      <c r="C131" s="89" t="s">
        <v>393</v>
      </c>
      <c r="D131" s="89" t="s">
        <v>449</v>
      </c>
      <c r="E131" s="89" t="s">
        <v>450</v>
      </c>
      <c r="F131" s="89" t="s">
        <v>451</v>
      </c>
      <c r="G131" s="89" t="s">
        <v>452</v>
      </c>
      <c r="H131" s="89" t="s">
        <v>393</v>
      </c>
      <c r="I131" s="214" t="s">
        <v>455</v>
      </c>
      <c r="J131" s="89">
        <f t="shared" si="3"/>
        <v>0</v>
      </c>
      <c r="K131" s="252"/>
    </row>
    <row r="132" spans="1:11" hidden="1" x14ac:dyDescent="0.2">
      <c r="A132" s="116"/>
      <c r="B132" s="95" t="s">
        <v>248</v>
      </c>
      <c r="C132" s="89" t="s">
        <v>393</v>
      </c>
      <c r="D132" s="89" t="s">
        <v>449</v>
      </c>
      <c r="E132" s="89" t="s">
        <v>450</v>
      </c>
      <c r="F132" s="89" t="s">
        <v>451</v>
      </c>
      <c r="G132" s="89" t="s">
        <v>452</v>
      </c>
      <c r="H132" s="89" t="s">
        <v>393</v>
      </c>
      <c r="I132" s="214" t="s">
        <v>455</v>
      </c>
      <c r="J132" s="89">
        <f t="shared" si="3"/>
        <v>0</v>
      </c>
      <c r="K132" s="252"/>
    </row>
    <row r="133" spans="1:11" hidden="1" x14ac:dyDescent="0.2">
      <c r="A133" s="116"/>
      <c r="B133" s="95" t="s">
        <v>249</v>
      </c>
      <c r="C133" s="89" t="s">
        <v>393</v>
      </c>
      <c r="D133" s="89" t="s">
        <v>449</v>
      </c>
      <c r="E133" s="89" t="s">
        <v>450</v>
      </c>
      <c r="F133" s="89" t="s">
        <v>451</v>
      </c>
      <c r="G133" s="89" t="s">
        <v>452</v>
      </c>
      <c r="H133" s="89" t="s">
        <v>393</v>
      </c>
      <c r="I133" s="214" t="s">
        <v>455</v>
      </c>
      <c r="J133" s="89">
        <f t="shared" ref="J133:J148" si="4">SUM(C133:I133)</f>
        <v>0</v>
      </c>
      <c r="K133" s="252"/>
    </row>
    <row r="134" spans="1:11" x14ac:dyDescent="0.2">
      <c r="A134" s="116"/>
      <c r="B134" s="95" t="s">
        <v>250</v>
      </c>
      <c r="C134" s="89" t="s">
        <v>393</v>
      </c>
      <c r="D134" s="89" t="s">
        <v>449</v>
      </c>
      <c r="E134" s="89" t="s">
        <v>450</v>
      </c>
      <c r="F134" s="89" t="s">
        <v>451</v>
      </c>
      <c r="G134" s="89" t="s">
        <v>452</v>
      </c>
      <c r="H134" s="89">
        <v>3474391</v>
      </c>
      <c r="I134" s="214">
        <v>1323694</v>
      </c>
      <c r="J134" s="250">
        <f t="shared" si="4"/>
        <v>4798085</v>
      </c>
      <c r="K134" s="92"/>
    </row>
    <row r="135" spans="1:11" hidden="1" x14ac:dyDescent="0.2">
      <c r="A135" s="116"/>
      <c r="B135" s="95" t="s">
        <v>251</v>
      </c>
      <c r="C135" s="89" t="s">
        <v>393</v>
      </c>
      <c r="D135" s="89" t="s">
        <v>449</v>
      </c>
      <c r="E135" s="89" t="s">
        <v>450</v>
      </c>
      <c r="F135" s="89" t="s">
        <v>451</v>
      </c>
      <c r="G135" s="89" t="s">
        <v>452</v>
      </c>
      <c r="H135" s="89" t="s">
        <v>393</v>
      </c>
      <c r="I135" s="214" t="s">
        <v>455</v>
      </c>
      <c r="J135" s="89">
        <f t="shared" si="4"/>
        <v>0</v>
      </c>
      <c r="K135" s="92"/>
    </row>
    <row r="136" spans="1:11" hidden="1" x14ac:dyDescent="0.2">
      <c r="A136" s="116"/>
      <c r="B136" s="95" t="s">
        <v>252</v>
      </c>
      <c r="C136" s="89" t="s">
        <v>393</v>
      </c>
      <c r="D136" s="89" t="s">
        <v>449</v>
      </c>
      <c r="E136" s="89" t="s">
        <v>450</v>
      </c>
      <c r="F136" s="89" t="s">
        <v>451</v>
      </c>
      <c r="G136" s="89" t="s">
        <v>452</v>
      </c>
      <c r="H136" s="89" t="s">
        <v>393</v>
      </c>
      <c r="I136" s="214" t="s">
        <v>455</v>
      </c>
      <c r="J136" s="89">
        <f t="shared" si="4"/>
        <v>0</v>
      </c>
      <c r="K136" s="92"/>
    </row>
    <row r="137" spans="1:11" hidden="1" x14ac:dyDescent="0.2">
      <c r="A137" s="116"/>
      <c r="B137" s="95" t="s">
        <v>253</v>
      </c>
      <c r="C137" s="89" t="s">
        <v>393</v>
      </c>
      <c r="D137" s="89" t="s">
        <v>449</v>
      </c>
      <c r="E137" s="89" t="s">
        <v>450</v>
      </c>
      <c r="F137" s="89" t="s">
        <v>451</v>
      </c>
      <c r="G137" s="89" t="s">
        <v>452</v>
      </c>
      <c r="H137" s="89" t="s">
        <v>393</v>
      </c>
      <c r="I137" s="214" t="s">
        <v>455</v>
      </c>
      <c r="J137" s="89">
        <f t="shared" si="4"/>
        <v>0</v>
      </c>
      <c r="K137" s="92"/>
    </row>
    <row r="138" spans="1:11" hidden="1" x14ac:dyDescent="0.2">
      <c r="A138" s="116"/>
      <c r="B138" s="95" t="s">
        <v>254</v>
      </c>
      <c r="C138" s="89" t="s">
        <v>393</v>
      </c>
      <c r="D138" s="89" t="s">
        <v>449</v>
      </c>
      <c r="E138" s="89" t="s">
        <v>450</v>
      </c>
      <c r="F138" s="89" t="s">
        <v>451</v>
      </c>
      <c r="G138" s="89" t="s">
        <v>452</v>
      </c>
      <c r="H138" s="89" t="s">
        <v>393</v>
      </c>
      <c r="I138" s="214" t="s">
        <v>455</v>
      </c>
      <c r="J138" s="89">
        <f t="shared" si="4"/>
        <v>0</v>
      </c>
      <c r="K138" s="92"/>
    </row>
    <row r="139" spans="1:11" hidden="1" x14ac:dyDescent="0.2">
      <c r="A139" s="116"/>
      <c r="B139" s="95" t="s">
        <v>255</v>
      </c>
      <c r="C139" s="89" t="s">
        <v>393</v>
      </c>
      <c r="D139" s="89" t="s">
        <v>449</v>
      </c>
      <c r="E139" s="89" t="s">
        <v>450</v>
      </c>
      <c r="F139" s="89" t="s">
        <v>451</v>
      </c>
      <c r="G139" s="89" t="s">
        <v>452</v>
      </c>
      <c r="H139" s="89" t="s">
        <v>393</v>
      </c>
      <c r="I139" s="214" t="s">
        <v>455</v>
      </c>
      <c r="J139" s="89">
        <f t="shared" si="4"/>
        <v>0</v>
      </c>
      <c r="K139" s="92"/>
    </row>
    <row r="140" spans="1:11" hidden="1" x14ac:dyDescent="0.2">
      <c r="A140" s="116"/>
      <c r="B140" s="95" t="s">
        <v>256</v>
      </c>
      <c r="C140" s="89" t="s">
        <v>393</v>
      </c>
      <c r="D140" s="89" t="s">
        <v>449</v>
      </c>
      <c r="E140" s="89" t="s">
        <v>450</v>
      </c>
      <c r="F140" s="89" t="s">
        <v>451</v>
      </c>
      <c r="G140" s="89" t="s">
        <v>452</v>
      </c>
      <c r="H140" s="89" t="s">
        <v>393</v>
      </c>
      <c r="I140" s="214" t="s">
        <v>455</v>
      </c>
      <c r="J140" s="89">
        <f t="shared" si="4"/>
        <v>0</v>
      </c>
      <c r="K140" s="92"/>
    </row>
    <row r="141" spans="1:11" hidden="1" x14ac:dyDescent="0.2">
      <c r="A141" s="116"/>
      <c r="B141" s="95" t="s">
        <v>257</v>
      </c>
      <c r="C141" s="89" t="s">
        <v>393</v>
      </c>
      <c r="D141" s="89" t="s">
        <v>449</v>
      </c>
      <c r="E141" s="89" t="s">
        <v>450</v>
      </c>
      <c r="F141" s="89" t="s">
        <v>451</v>
      </c>
      <c r="G141" s="89" t="s">
        <v>452</v>
      </c>
      <c r="H141" s="89" t="s">
        <v>393</v>
      </c>
      <c r="I141" s="214" t="s">
        <v>455</v>
      </c>
      <c r="J141" s="89">
        <f t="shared" si="4"/>
        <v>0</v>
      </c>
      <c r="K141" s="92"/>
    </row>
    <row r="142" spans="1:11" hidden="1" x14ac:dyDescent="0.2">
      <c r="A142" s="116"/>
      <c r="B142" s="95" t="s">
        <v>258</v>
      </c>
      <c r="C142" s="89" t="s">
        <v>393</v>
      </c>
      <c r="D142" s="89" t="s">
        <v>449</v>
      </c>
      <c r="E142" s="89" t="s">
        <v>450</v>
      </c>
      <c r="F142" s="89" t="s">
        <v>451</v>
      </c>
      <c r="G142" s="89" t="s">
        <v>452</v>
      </c>
      <c r="H142" s="89" t="s">
        <v>393</v>
      </c>
      <c r="I142" s="214" t="s">
        <v>455</v>
      </c>
      <c r="J142" s="89">
        <f t="shared" si="4"/>
        <v>0</v>
      </c>
      <c r="K142" s="92"/>
    </row>
    <row r="143" spans="1:11" x14ac:dyDescent="0.2">
      <c r="A143" s="116"/>
      <c r="B143" s="95" t="s">
        <v>259</v>
      </c>
      <c r="C143" s="89" t="s">
        <v>393</v>
      </c>
      <c r="D143" s="89" t="s">
        <v>449</v>
      </c>
      <c r="E143" s="89" t="s">
        <v>450</v>
      </c>
      <c r="F143" s="89" t="s">
        <v>451</v>
      </c>
      <c r="G143" s="89" t="s">
        <v>452</v>
      </c>
      <c r="H143" s="89">
        <v>427150</v>
      </c>
      <c r="I143" s="214">
        <v>46531</v>
      </c>
      <c r="J143" s="89">
        <f t="shared" si="4"/>
        <v>473681</v>
      </c>
      <c r="K143" s="92"/>
    </row>
    <row r="144" spans="1:11" x14ac:dyDescent="0.2">
      <c r="A144" s="116"/>
      <c r="B144" s="95" t="s">
        <v>260</v>
      </c>
      <c r="C144" s="89" t="s">
        <v>393</v>
      </c>
      <c r="D144" s="89" t="s">
        <v>449</v>
      </c>
      <c r="E144" s="89" t="s">
        <v>450</v>
      </c>
      <c r="F144" s="89" t="s">
        <v>451</v>
      </c>
      <c r="G144" s="89" t="s">
        <v>452</v>
      </c>
      <c r="H144" s="89">
        <v>690311</v>
      </c>
      <c r="I144" s="214">
        <v>362006</v>
      </c>
      <c r="J144" s="250">
        <f t="shared" si="4"/>
        <v>1052317</v>
      </c>
      <c r="K144" s="92"/>
    </row>
    <row r="145" spans="1:11" ht="15.75" thickBot="1" x14ac:dyDescent="0.3">
      <c r="A145" s="261" t="s">
        <v>456</v>
      </c>
      <c r="B145" s="262"/>
      <c r="C145" s="263">
        <f t="shared" ref="C145:I145" si="5">SUM(C55:C144)</f>
        <v>10723251</v>
      </c>
      <c r="D145" s="263">
        <f t="shared" si="5"/>
        <v>5534706</v>
      </c>
      <c r="E145" s="263">
        <f t="shared" si="5"/>
        <v>1885294</v>
      </c>
      <c r="F145" s="263">
        <f t="shared" si="5"/>
        <v>0</v>
      </c>
      <c r="G145" s="263">
        <f t="shared" si="5"/>
        <v>0</v>
      </c>
      <c r="H145" s="263">
        <f t="shared" si="5"/>
        <v>6280918</v>
      </c>
      <c r="I145" s="264">
        <f t="shared" si="5"/>
        <v>39645419</v>
      </c>
      <c r="J145" s="265">
        <f t="shared" si="4"/>
        <v>64069588</v>
      </c>
      <c r="K145" s="266"/>
    </row>
    <row r="146" spans="1:11" ht="15.75" thickBot="1" x14ac:dyDescent="0.3">
      <c r="A146" s="245" t="s">
        <v>457</v>
      </c>
      <c r="B146" s="246"/>
      <c r="C146" s="247">
        <f t="shared" ref="C146:I146" si="6">C54+C145</f>
        <v>45813646</v>
      </c>
      <c r="D146" s="247">
        <f t="shared" si="6"/>
        <v>22116932</v>
      </c>
      <c r="E146" s="247">
        <f t="shared" si="6"/>
        <v>11185683</v>
      </c>
      <c r="F146" s="247">
        <f t="shared" si="6"/>
        <v>153282</v>
      </c>
      <c r="G146" s="247">
        <f t="shared" si="6"/>
        <v>1000000</v>
      </c>
      <c r="H146" s="247">
        <f t="shared" si="6"/>
        <v>23402431</v>
      </c>
      <c r="I146" s="248">
        <f t="shared" si="6"/>
        <v>46286498</v>
      </c>
      <c r="J146" s="236">
        <f t="shared" si="4"/>
        <v>149958472</v>
      </c>
    </row>
    <row r="147" spans="1:11" ht="15" x14ac:dyDescent="0.25">
      <c r="A147" s="267" t="s">
        <v>108</v>
      </c>
      <c r="B147" s="268" t="s">
        <v>458</v>
      </c>
      <c r="C147" s="269">
        <v>0</v>
      </c>
      <c r="D147" s="269">
        <v>0</v>
      </c>
      <c r="E147" s="269">
        <v>0</v>
      </c>
      <c r="F147" s="269">
        <v>0</v>
      </c>
      <c r="G147" s="269">
        <v>0</v>
      </c>
      <c r="H147" s="269">
        <v>0</v>
      </c>
      <c r="I147" s="270">
        <v>0</v>
      </c>
      <c r="J147" s="144">
        <f t="shared" si="4"/>
        <v>0</v>
      </c>
    </row>
    <row r="148" spans="1:11" ht="15.75" thickBot="1" x14ac:dyDescent="0.3">
      <c r="A148" s="271" t="s">
        <v>459</v>
      </c>
      <c r="B148" s="103"/>
      <c r="C148" s="272">
        <f>C146+C147</f>
        <v>45813646</v>
      </c>
      <c r="D148" s="272">
        <f t="shared" ref="D148:I148" si="7">D146+D147</f>
        <v>22116932</v>
      </c>
      <c r="E148" s="272">
        <f t="shared" si="7"/>
        <v>11185683</v>
      </c>
      <c r="F148" s="272">
        <f t="shared" si="7"/>
        <v>153282</v>
      </c>
      <c r="G148" s="272">
        <f t="shared" si="7"/>
        <v>1000000</v>
      </c>
      <c r="H148" s="272">
        <f t="shared" si="7"/>
        <v>23402431</v>
      </c>
      <c r="I148" s="272">
        <f t="shared" si="7"/>
        <v>46286498</v>
      </c>
      <c r="J148" s="272">
        <f t="shared" si="4"/>
        <v>149958472</v>
      </c>
    </row>
    <row r="149" spans="1:11" ht="15" thickTop="1" x14ac:dyDescent="0.2">
      <c r="A149" s="273"/>
      <c r="B149" s="190"/>
      <c r="C149" s="274"/>
      <c r="D149" s="274"/>
      <c r="E149" s="274"/>
      <c r="F149" s="274"/>
      <c r="G149" s="274"/>
      <c r="H149" s="274"/>
      <c r="I149" s="274"/>
      <c r="J149" s="274"/>
    </row>
    <row r="150" spans="1:11" x14ac:dyDescent="0.2">
      <c r="A150" s="275"/>
      <c r="B150" s="191" t="str">
        <f>'PCFP - All Revenue AA-1 R-1'!C81</f>
        <v>Carson City School District</v>
      </c>
      <c r="C150" s="274" t="s">
        <v>428</v>
      </c>
      <c r="D150" s="274"/>
      <c r="E150" s="276"/>
      <c r="F150" s="276"/>
      <c r="G150" s="276"/>
      <c r="H150" s="274"/>
      <c r="J150" s="278" t="str">
        <f>"Budget Fiscal Year "&amp;TEXT('[1]Form 1'!$C$136, "mm/dd/yy")</f>
        <v>Budget Fiscal Year 2019-2020</v>
      </c>
    </row>
    <row r="151" spans="1:11" x14ac:dyDescent="0.2">
      <c r="A151" s="279"/>
      <c r="B151" s="193" t="s">
        <v>460</v>
      </c>
      <c r="C151" s="274" t="s">
        <v>430</v>
      </c>
      <c r="D151" s="274"/>
      <c r="E151" s="274"/>
      <c r="F151" s="274"/>
      <c r="G151" s="274"/>
      <c r="H151" s="274"/>
      <c r="J151" s="280" t="s">
        <v>461</v>
      </c>
    </row>
    <row r="152" spans="1:11" x14ac:dyDescent="0.2">
      <c r="H152" s="280"/>
      <c r="I152" s="280"/>
      <c r="J152" s="191"/>
    </row>
  </sheetData>
  <pageMargins left="0.55000000000000004" right="0" top="0.5" bottom="0.25" header="0.5" footer="0"/>
  <pageSetup scale="68" fitToHeight="3" orientation="landscape" r:id="rId1"/>
  <headerFooter alignWithMargins="0">
    <oddFooter>&amp;C&amp;8FORM 4405LGF
Last Revised 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B62C-C292-4D8A-8DCB-7EFF4F2CDE5B}">
  <dimension ref="A1:G158"/>
  <sheetViews>
    <sheetView showGridLines="0" zoomScaleNormal="100" workbookViewId="0">
      <selection activeCell="H163" sqref="H163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4.140625" style="12" bestFit="1" customWidth="1"/>
    <col min="4" max="4" width="18.28515625" style="12" bestFit="1" customWidth="1"/>
    <col min="5" max="5" width="18.5703125" bestFit="1" customWidth="1"/>
    <col min="6" max="6" width="11.2851562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535" t="s">
        <v>733</v>
      </c>
      <c r="D1" s="10" t="s">
        <v>119</v>
      </c>
    </row>
    <row r="3" spans="1:5" ht="38.25" x14ac:dyDescent="0.2">
      <c r="B3" s="2" t="s">
        <v>120</v>
      </c>
      <c r="C3" s="14" t="s">
        <v>545</v>
      </c>
      <c r="D3" s="14" t="s">
        <v>546</v>
      </c>
      <c r="E3" s="14" t="s">
        <v>123</v>
      </c>
    </row>
    <row r="4" spans="1:5" x14ac:dyDescent="0.2">
      <c r="B4" s="3"/>
    </row>
    <row r="5" spans="1:5" x14ac:dyDescent="0.2">
      <c r="B5" s="16" t="s">
        <v>124</v>
      </c>
      <c r="C5" s="12">
        <f>'19_20 District Budget Summ-14'!O35</f>
        <v>4724092</v>
      </c>
      <c r="D5" s="12">
        <f>SUM('PCFP - All Revenue AA-1 R-14'!F33,'PCFP - All Revenue AA-1 R-14'!H33)</f>
        <v>1355678</v>
      </c>
      <c r="E5" s="17">
        <f>D5-C5</f>
        <v>-3368414</v>
      </c>
    </row>
    <row r="6" spans="1:5" x14ac:dyDescent="0.2">
      <c r="E6" s="17"/>
    </row>
    <row r="7" spans="1:5" x14ac:dyDescent="0.2">
      <c r="B7" s="16" t="s">
        <v>125</v>
      </c>
      <c r="C7" s="12">
        <f>'19_20 District Budget Summ-14'!O48</f>
        <v>8038132</v>
      </c>
      <c r="D7" s="52">
        <f>SUM('PCFP - All Revenue AA-1 R-14'!F49,'PCFP - All Revenue AA-1 R-14'!H49)</f>
        <v>10436473.420892341</v>
      </c>
      <c r="E7" s="17">
        <f>D7-C7</f>
        <v>2398341.4208923411</v>
      </c>
    </row>
    <row r="8" spans="1:5" x14ac:dyDescent="0.2">
      <c r="E8" s="17"/>
    </row>
    <row r="9" spans="1:5" x14ac:dyDescent="0.2">
      <c r="B9" s="16" t="s">
        <v>126</v>
      </c>
      <c r="C9" s="12">
        <f>'19_20 District Budget Summ-14'!O62</f>
        <v>1306378</v>
      </c>
      <c r="D9" s="12">
        <f>SUM('PCFP - All Revenue AA-1 R-14'!F57,'PCFP - All Revenue AA-1 R-14'!H57)</f>
        <v>1306378</v>
      </c>
      <c r="E9" s="17">
        <f>D9-C9</f>
        <v>0</v>
      </c>
    </row>
    <row r="10" spans="1:5" x14ac:dyDescent="0.2">
      <c r="E10" s="17"/>
    </row>
    <row r="11" spans="1:5" x14ac:dyDescent="0.2">
      <c r="B11" s="16" t="s">
        <v>127</v>
      </c>
      <c r="C11" s="12">
        <f>'19_20 District Budget Summ-14'!O69</f>
        <v>779552</v>
      </c>
      <c r="D11" s="12">
        <f>SUM('PCFP - All Revenue AA-1 R-14'!F67,'PCFP - All Revenue AA-1 R-14'!H67)</f>
        <v>779552</v>
      </c>
      <c r="E11" s="17">
        <f>D11-C11</f>
        <v>0</v>
      </c>
    </row>
    <row r="12" spans="1:5" x14ac:dyDescent="0.2">
      <c r="E12" s="17"/>
    </row>
    <row r="13" spans="1:5" s="2" customFormat="1" x14ac:dyDescent="0.2">
      <c r="B13" s="18" t="s">
        <v>128</v>
      </c>
      <c r="C13" s="40">
        <f t="shared" ref="C13:D13" si="0">SUM(C5:C12)</f>
        <v>14848154</v>
      </c>
      <c r="D13" s="40">
        <f t="shared" si="0"/>
        <v>13878081.420892341</v>
      </c>
      <c r="E13" s="41">
        <f>D13-C13</f>
        <v>-970072.57910765894</v>
      </c>
    </row>
    <row r="14" spans="1:5" x14ac:dyDescent="0.2">
      <c r="C14" s="43"/>
      <c r="D14" s="43"/>
      <c r="E14" s="44"/>
    </row>
    <row r="15" spans="1:5" x14ac:dyDescent="0.2">
      <c r="B15" s="16" t="s">
        <v>129</v>
      </c>
      <c r="C15" s="43">
        <f>'19_20 District Budget Summ-14'!O80</f>
        <v>4985025</v>
      </c>
      <c r="D15" s="43">
        <f>SUM('PCFP - All Revenue AA-1 R-14'!F71,'PCFP - All Revenue AA-1 R-14'!H71)</f>
        <v>4985025</v>
      </c>
      <c r="E15" s="328">
        <f>D15-C15</f>
        <v>0</v>
      </c>
    </row>
    <row r="16" spans="1:5" x14ac:dyDescent="0.2">
      <c r="C16" s="43"/>
      <c r="D16" s="43"/>
      <c r="E16" s="44"/>
    </row>
    <row r="17" spans="1:7" x14ac:dyDescent="0.2">
      <c r="A17" s="22"/>
      <c r="B17" s="23" t="s">
        <v>306</v>
      </c>
      <c r="C17" s="47">
        <f t="shared" ref="C17:D17" si="1">SUM(C13:C15)</f>
        <v>19833179</v>
      </c>
      <c r="D17" s="47">
        <f t="shared" si="1"/>
        <v>18863106.420892343</v>
      </c>
      <c r="E17" s="497">
        <f>D17-C17</f>
        <v>-970072.57910765707</v>
      </c>
      <c r="F17" s="26"/>
      <c r="G17" s="17"/>
    </row>
    <row r="18" spans="1:7" s="2" customFormat="1" x14ac:dyDescent="0.2">
      <c r="A18" s="27"/>
      <c r="B18" s="28" t="s">
        <v>131</v>
      </c>
      <c r="C18" s="50">
        <f>SUM(C21,C38,C67,C69)</f>
        <v>19833179</v>
      </c>
      <c r="D18" s="50">
        <f>SUM(D21,D38,D67,D69)</f>
        <v>19833178.969999999</v>
      </c>
      <c r="E18" s="51">
        <f>D18-C18</f>
        <v>-3.0000001192092896E-2</v>
      </c>
    </row>
    <row r="19" spans="1:7" x14ac:dyDescent="0.2">
      <c r="A19" s="30"/>
      <c r="B19" s="286" t="s">
        <v>132</v>
      </c>
      <c r="C19" s="911">
        <f t="shared" ref="C19" si="2">C17-C18</f>
        <v>0</v>
      </c>
      <c r="D19" s="911">
        <f>D17-D18</f>
        <v>-970072.54910765588</v>
      </c>
      <c r="E19" s="51">
        <f>D19-C19</f>
        <v>-970072.54910765588</v>
      </c>
    </row>
    <row r="20" spans="1:7" x14ac:dyDescent="0.2">
      <c r="C20" s="43"/>
      <c r="D20" s="43"/>
      <c r="E20" s="44"/>
    </row>
    <row r="21" spans="1:7" x14ac:dyDescent="0.2">
      <c r="A21" s="3"/>
      <c r="B21" s="3" t="s">
        <v>133</v>
      </c>
      <c r="C21" s="328">
        <f>SUM(C22:C36)</f>
        <v>9093770</v>
      </c>
      <c r="D21" s="328">
        <f>SUM(D22:D36)</f>
        <v>4922730</v>
      </c>
      <c r="E21" s="44"/>
    </row>
    <row r="22" spans="1:7" hidden="1" x14ac:dyDescent="0.2">
      <c r="A22" s="3">
        <v>100</v>
      </c>
      <c r="B22" s="3" t="s">
        <v>134</v>
      </c>
      <c r="C22" s="328">
        <f>'19_20 District Budget Summ-14'!O87</f>
        <v>5763332.75</v>
      </c>
      <c r="D22" s="328">
        <f>'PCFP-All Expense AA-1 Modi-14'!J3</f>
        <v>4609180</v>
      </c>
      <c r="E22" s="487"/>
    </row>
    <row r="23" spans="1:7" hidden="1" x14ac:dyDescent="0.2">
      <c r="A23" s="3">
        <v>200</v>
      </c>
      <c r="B23" s="3" t="s">
        <v>135</v>
      </c>
      <c r="C23" s="328">
        <f>'19_20 District Budget Summ-14'!O88</f>
        <v>1621505.75</v>
      </c>
      <c r="D23" s="328">
        <f>'PCFP-All Expense AA-1 Modi-14'!J4</f>
        <v>0</v>
      </c>
      <c r="E23" s="487"/>
    </row>
    <row r="24" spans="1:7" hidden="1" x14ac:dyDescent="0.2">
      <c r="A24" s="3" t="s">
        <v>10</v>
      </c>
      <c r="B24" s="3" t="s">
        <v>136</v>
      </c>
      <c r="C24" s="328">
        <f>'19_20 District Budget Summ-14'!O89</f>
        <v>0</v>
      </c>
      <c r="D24" s="328">
        <f>'PCFP-All Expense AA-1 Modi-14'!J5</f>
        <v>0</v>
      </c>
      <c r="E24" s="487"/>
    </row>
    <row r="25" spans="1:7" hidden="1" x14ac:dyDescent="0.2">
      <c r="A25" s="3">
        <v>270</v>
      </c>
      <c r="B25" s="3" t="s">
        <v>137</v>
      </c>
      <c r="C25" s="328">
        <f>'19_20 District Budget Summ-14'!O90</f>
        <v>0</v>
      </c>
      <c r="D25" s="328">
        <f>'PCFP-All Expense AA-1 Modi-14'!J6</f>
        <v>0</v>
      </c>
      <c r="E25" s="487"/>
    </row>
    <row r="26" spans="1:7" hidden="1" x14ac:dyDescent="0.2">
      <c r="A26" s="3" t="s">
        <v>10</v>
      </c>
      <c r="B26" s="3" t="s">
        <v>138</v>
      </c>
      <c r="C26" s="328">
        <f>'19_20 District Budget Summ-14'!O91</f>
        <v>0</v>
      </c>
      <c r="D26" s="328">
        <f>'PCFP-All Expense AA-1 Modi-14'!J7</f>
        <v>0</v>
      </c>
      <c r="E26" s="487"/>
    </row>
    <row r="27" spans="1:7" hidden="1" x14ac:dyDescent="0.2">
      <c r="A27" s="3">
        <v>300</v>
      </c>
      <c r="B27" s="3" t="s">
        <v>139</v>
      </c>
      <c r="C27" s="328">
        <f>'19_20 District Budget Summ-14'!O92</f>
        <v>249479.75</v>
      </c>
      <c r="D27" s="328">
        <f>'PCFP-All Expense AA-1 Modi-14'!J8</f>
        <v>120800</v>
      </c>
      <c r="E27" s="487"/>
    </row>
    <row r="28" spans="1:7" hidden="1" x14ac:dyDescent="0.2">
      <c r="A28" s="3">
        <v>400</v>
      </c>
      <c r="B28" s="3" t="s">
        <v>140</v>
      </c>
      <c r="C28" s="328">
        <f>'19_20 District Budget Summ-14'!O93</f>
        <v>0</v>
      </c>
      <c r="D28" s="328">
        <f>'PCFP-All Expense AA-1 Modi-14'!J9</f>
        <v>0</v>
      </c>
      <c r="E28" s="487"/>
    </row>
    <row r="29" spans="1:7" hidden="1" x14ac:dyDescent="0.2">
      <c r="A29" s="3" t="s">
        <v>10</v>
      </c>
      <c r="B29" s="3" t="s">
        <v>141</v>
      </c>
      <c r="C29" s="328">
        <f>'19_20 District Budget Summ-14'!O94</f>
        <v>0</v>
      </c>
      <c r="D29" s="328">
        <f>'PCFP-All Expense AA-1 Modi-14'!J10</f>
        <v>0</v>
      </c>
      <c r="E29" s="487"/>
    </row>
    <row r="30" spans="1:7" hidden="1" x14ac:dyDescent="0.2">
      <c r="A30" s="3" t="s">
        <v>10</v>
      </c>
      <c r="B30" s="3" t="s">
        <v>142</v>
      </c>
      <c r="C30" s="328">
        <f>'19_20 District Budget Summ-14'!O95</f>
        <v>0</v>
      </c>
      <c r="D30" s="328">
        <f>'PCFP-All Expense AA-1 Modi-14'!J11</f>
        <v>0</v>
      </c>
      <c r="E30" s="487"/>
    </row>
    <row r="31" spans="1:7" hidden="1" x14ac:dyDescent="0.2">
      <c r="A31" s="3">
        <v>440</v>
      </c>
      <c r="B31" s="3" t="s">
        <v>143</v>
      </c>
      <c r="C31" s="328">
        <f>'19_20 District Budget Summ-14'!O97</f>
        <v>0</v>
      </c>
      <c r="D31" s="328">
        <f>'PCFP-All Expense AA-1 Modi-14'!J12</f>
        <v>0</v>
      </c>
      <c r="E31" s="487"/>
    </row>
    <row r="32" spans="1:7" hidden="1" x14ac:dyDescent="0.2">
      <c r="A32" s="3">
        <v>500</v>
      </c>
      <c r="B32" s="3" t="s">
        <v>144</v>
      </c>
      <c r="C32" s="328">
        <f>'19_20 District Budget Summ-14'!O98</f>
        <v>0</v>
      </c>
      <c r="D32" s="328">
        <f>'PCFP-All Expense AA-1 Modi-14'!J13</f>
        <v>0</v>
      </c>
      <c r="E32" s="487"/>
    </row>
    <row r="33" spans="1:5" hidden="1" x14ac:dyDescent="0.2">
      <c r="A33" s="3">
        <v>600</v>
      </c>
      <c r="B33" s="3" t="s">
        <v>145</v>
      </c>
      <c r="C33" s="328">
        <f>'19_20 District Budget Summ-14'!O99</f>
        <v>1266701.75</v>
      </c>
      <c r="D33" s="328">
        <f>'PCFP-All Expense AA-1 Modi-14'!J14</f>
        <v>0</v>
      </c>
      <c r="E33" s="487"/>
    </row>
    <row r="34" spans="1:5" hidden="1" x14ac:dyDescent="0.2">
      <c r="A34" s="3">
        <v>800</v>
      </c>
      <c r="B34" s="3" t="s">
        <v>146</v>
      </c>
      <c r="C34" s="328">
        <f>'19_20 District Budget Summ-14'!O100</f>
        <v>0</v>
      </c>
      <c r="D34" s="328">
        <f>'PCFP-All Expense AA-1 Modi-14'!J15</f>
        <v>0</v>
      </c>
      <c r="E34" s="487"/>
    </row>
    <row r="35" spans="1:5" hidden="1" x14ac:dyDescent="0.2">
      <c r="A35" s="3">
        <v>910</v>
      </c>
      <c r="B35" s="3" t="s">
        <v>147</v>
      </c>
      <c r="C35" s="328">
        <f>'19_20 District Budget Summ-14'!O101</f>
        <v>0</v>
      </c>
      <c r="D35" s="328">
        <f>'PCFP-All Expense AA-1 Modi-14'!J16</f>
        <v>0</v>
      </c>
      <c r="E35" s="487"/>
    </row>
    <row r="36" spans="1:5" hidden="1" x14ac:dyDescent="0.2">
      <c r="A36" s="3">
        <v>920</v>
      </c>
      <c r="B36" s="3" t="s">
        <v>148</v>
      </c>
      <c r="C36" s="328">
        <f>'19_20 District Budget Summ-14'!O102</f>
        <v>192750</v>
      </c>
      <c r="D36" s="328">
        <f>'PCFP-All Expense AA-1 Modi-14'!J17</f>
        <v>192750</v>
      </c>
      <c r="E36" s="487"/>
    </row>
    <row r="37" spans="1:5" x14ac:dyDescent="0.2">
      <c r="A37" s="3"/>
      <c r="B37" s="3"/>
      <c r="C37" s="328"/>
      <c r="D37" s="328"/>
      <c r="E37" s="487"/>
    </row>
    <row r="38" spans="1:5" x14ac:dyDescent="0.2">
      <c r="A38" s="3" t="s">
        <v>149</v>
      </c>
      <c r="B38" s="3" t="s">
        <v>150</v>
      </c>
      <c r="C38" s="328">
        <f>SUM(C39:C65)</f>
        <v>11402164</v>
      </c>
      <c r="D38" s="328">
        <f>SUM(D39:D65)</f>
        <v>6616760</v>
      </c>
      <c r="E38" s="487"/>
    </row>
    <row r="39" spans="1:5" hidden="1" x14ac:dyDescent="0.2">
      <c r="A39" s="3">
        <v>2100</v>
      </c>
      <c r="B39" s="3" t="s">
        <v>151</v>
      </c>
      <c r="C39" s="328">
        <f>'19_20 District Budget Summ-14'!O105</f>
        <v>578808</v>
      </c>
      <c r="D39" s="328">
        <f>'PCFP-All Expense AA-1 Modi-14'!J21</f>
        <v>93020</v>
      </c>
      <c r="E39" s="487"/>
    </row>
    <row r="40" spans="1:5" hidden="1" x14ac:dyDescent="0.2">
      <c r="A40" s="3">
        <v>2200</v>
      </c>
      <c r="B40" s="3" t="s">
        <v>152</v>
      </c>
      <c r="C40" s="328">
        <f>'19_20 District Budget Summ-14'!O106</f>
        <v>0</v>
      </c>
      <c r="D40" s="328">
        <f>'PCFP-All Expense AA-1 Modi-14'!J22</f>
        <v>0</v>
      </c>
      <c r="E40" s="487"/>
    </row>
    <row r="41" spans="1:5" hidden="1" x14ac:dyDescent="0.2">
      <c r="A41" s="3">
        <v>2300</v>
      </c>
      <c r="B41" s="3" t="s">
        <v>153</v>
      </c>
      <c r="C41" s="328">
        <f>'19_20 District Budget Summ-14'!O107</f>
        <v>278500</v>
      </c>
      <c r="D41" s="328">
        <f>'PCFP-All Expense AA-1 Modi-14'!J23</f>
        <v>278500</v>
      </c>
      <c r="E41" s="487"/>
    </row>
    <row r="42" spans="1:5" hidden="1" x14ac:dyDescent="0.2">
      <c r="A42" s="3">
        <v>2400</v>
      </c>
      <c r="B42" s="3" t="s">
        <v>154</v>
      </c>
      <c r="C42" s="328">
        <f>'19_20 District Budget Summ-14'!O108</f>
        <v>640815</v>
      </c>
      <c r="D42" s="328">
        <f>'PCFP-All Expense AA-1 Modi-14'!J24</f>
        <v>640815</v>
      </c>
      <c r="E42" s="487"/>
    </row>
    <row r="43" spans="1:5" hidden="1" x14ac:dyDescent="0.2">
      <c r="A43" s="3">
        <v>2500</v>
      </c>
      <c r="B43" s="3" t="s">
        <v>155</v>
      </c>
      <c r="C43" s="328">
        <f>'19_20 District Budget Summ-14'!O109</f>
        <v>935550</v>
      </c>
      <c r="D43" s="328">
        <f>'PCFP-All Expense AA-1 Modi-14'!J25</f>
        <v>905550</v>
      </c>
      <c r="E43" s="487"/>
    </row>
    <row r="44" spans="1:5" hidden="1" x14ac:dyDescent="0.2">
      <c r="A44" s="3">
        <v>2600</v>
      </c>
      <c r="B44" s="3" t="s">
        <v>156</v>
      </c>
      <c r="C44" s="328">
        <f>'19_20 District Budget Summ-14'!O110</f>
        <v>1347720</v>
      </c>
      <c r="D44" s="328">
        <f>'PCFP-All Expense AA-1 Modi-14'!J26</f>
        <v>1261570</v>
      </c>
      <c r="E44" s="487"/>
    </row>
    <row r="45" spans="1:5" hidden="1" x14ac:dyDescent="0.2">
      <c r="A45" s="3">
        <v>2700</v>
      </c>
      <c r="B45" s="3" t="s">
        <v>157</v>
      </c>
      <c r="C45" s="328">
        <f>'19_20 District Budget Summ-14'!O111</f>
        <v>892075</v>
      </c>
      <c r="D45" s="328">
        <f>'PCFP-All Expense AA-1 Modi-14'!J27</f>
        <v>854725</v>
      </c>
      <c r="E45" s="487"/>
    </row>
    <row r="46" spans="1:5" hidden="1" x14ac:dyDescent="0.2">
      <c r="A46" s="3">
        <v>2900</v>
      </c>
      <c r="B46" s="3" t="s">
        <v>158</v>
      </c>
      <c r="C46" s="328">
        <f>'19_20 District Budget Summ-14'!O112</f>
        <v>5970</v>
      </c>
      <c r="D46" s="328">
        <f>'PCFP-All Expense AA-1 Modi-14'!J28</f>
        <v>0</v>
      </c>
      <c r="E46" s="487"/>
    </row>
    <row r="47" spans="1:5" hidden="1" x14ac:dyDescent="0.2">
      <c r="A47" s="3">
        <v>3000</v>
      </c>
      <c r="B47" s="3" t="s">
        <v>159</v>
      </c>
      <c r="C47" s="328">
        <f>'19_20 District Budget Summ-14'!O113</f>
        <v>0</v>
      </c>
      <c r="D47" s="328">
        <f>'PCFP-All Expense AA-1 Modi-14'!J29</f>
        <v>0</v>
      </c>
      <c r="E47" s="487"/>
    </row>
    <row r="48" spans="1:5" hidden="1" x14ac:dyDescent="0.2">
      <c r="A48" s="3">
        <v>3100</v>
      </c>
      <c r="B48" s="3" t="s">
        <v>160</v>
      </c>
      <c r="C48" s="328">
        <f>'19_20 District Budget Summ-14'!O114</f>
        <v>384078</v>
      </c>
      <c r="D48" s="328">
        <f>'PCFP-All Expense AA-1 Modi-14'!J30</f>
        <v>0</v>
      </c>
      <c r="E48" s="487"/>
    </row>
    <row r="49" spans="1:5" hidden="1" x14ac:dyDescent="0.2">
      <c r="A49" s="3">
        <v>3200</v>
      </c>
      <c r="B49" s="3" t="s">
        <v>161</v>
      </c>
      <c r="C49" s="328">
        <f>'19_20 District Budget Summ-14'!O115</f>
        <v>0</v>
      </c>
      <c r="D49" s="328">
        <f>'PCFP-All Expense AA-1 Modi-14'!J31</f>
        <v>0</v>
      </c>
      <c r="E49" s="487"/>
    </row>
    <row r="50" spans="1:5" hidden="1" x14ac:dyDescent="0.2">
      <c r="A50" s="3">
        <v>3300</v>
      </c>
      <c r="B50" s="3" t="s">
        <v>162</v>
      </c>
      <c r="C50" s="328">
        <f>'19_20 District Budget Summ-14'!O116</f>
        <v>0</v>
      </c>
      <c r="D50" s="328">
        <f>'PCFP-All Expense AA-1 Modi-14'!J32</f>
        <v>0</v>
      </c>
      <c r="E50" s="487"/>
    </row>
    <row r="51" spans="1:5" hidden="1" x14ac:dyDescent="0.2">
      <c r="A51" s="3">
        <v>4000</v>
      </c>
      <c r="B51" s="3" t="s">
        <v>164</v>
      </c>
      <c r="C51" s="328">
        <f>'19_20 District Budget Summ-14'!O117</f>
        <v>0</v>
      </c>
      <c r="D51" s="328">
        <f>'PCFP-All Expense AA-1 Modi-14'!J33</f>
        <v>20000</v>
      </c>
      <c r="E51" s="487"/>
    </row>
    <row r="52" spans="1:5" hidden="1" x14ac:dyDescent="0.2">
      <c r="A52" s="3">
        <v>4100</v>
      </c>
      <c r="B52" s="3" t="s">
        <v>163</v>
      </c>
      <c r="C52" s="328">
        <f>'19_20 District Budget Summ-14'!O118</f>
        <v>70000</v>
      </c>
      <c r="D52" s="328">
        <f>'PCFP-All Expense AA-1 Modi-14'!J34</f>
        <v>0</v>
      </c>
      <c r="E52" s="487"/>
    </row>
    <row r="53" spans="1:5" hidden="1" x14ac:dyDescent="0.2">
      <c r="A53" s="3">
        <v>4200</v>
      </c>
      <c r="B53" s="3" t="s">
        <v>165</v>
      </c>
      <c r="C53" s="328">
        <f>'19_20 District Budget Summ-14'!O119</f>
        <v>0</v>
      </c>
      <c r="D53" s="328">
        <f>'PCFP-All Expense AA-1 Modi-14'!J35</f>
        <v>0</v>
      </c>
      <c r="E53" s="487"/>
    </row>
    <row r="54" spans="1:5" hidden="1" x14ac:dyDescent="0.2">
      <c r="A54" s="3">
        <v>4300</v>
      </c>
      <c r="B54" s="3" t="s">
        <v>166</v>
      </c>
      <c r="C54" s="328">
        <f>'19_20 District Budget Summ-14'!O120</f>
        <v>0</v>
      </c>
      <c r="D54" s="328">
        <f>'PCFP-All Expense AA-1 Modi-14'!J36</f>
        <v>0</v>
      </c>
      <c r="E54" s="487"/>
    </row>
    <row r="55" spans="1:5" hidden="1" x14ac:dyDescent="0.2">
      <c r="A55" s="3">
        <v>4400</v>
      </c>
      <c r="B55" s="3" t="s">
        <v>167</v>
      </c>
      <c r="C55" s="328">
        <f>'19_20 District Budget Summ-14'!O121</f>
        <v>0</v>
      </c>
      <c r="D55" s="328">
        <f>'PCFP-All Expense AA-1 Modi-14'!J37</f>
        <v>0</v>
      </c>
      <c r="E55" s="487"/>
    </row>
    <row r="56" spans="1:5" hidden="1" x14ac:dyDescent="0.2">
      <c r="A56" s="3">
        <v>4500</v>
      </c>
      <c r="B56" s="3" t="s">
        <v>168</v>
      </c>
      <c r="C56" s="328">
        <f>'19_20 District Budget Summ-14'!O122</f>
        <v>0</v>
      </c>
      <c r="D56" s="328">
        <f>'PCFP-All Expense AA-1 Modi-14'!J38</f>
        <v>0</v>
      </c>
      <c r="E56" s="487"/>
    </row>
    <row r="57" spans="1:5" hidden="1" x14ac:dyDescent="0.2">
      <c r="A57" s="3">
        <v>4600</v>
      </c>
      <c r="B57" s="3" t="s">
        <v>169</v>
      </c>
      <c r="C57" s="328">
        <f>'19_20 District Budget Summ-14'!O123</f>
        <v>250000</v>
      </c>
      <c r="D57" s="328">
        <f>'PCFP-All Expense AA-1 Modi-14'!J39</f>
        <v>0</v>
      </c>
      <c r="E57" s="487"/>
    </row>
    <row r="58" spans="1:5" hidden="1" x14ac:dyDescent="0.2">
      <c r="A58" s="3">
        <v>4700</v>
      </c>
      <c r="B58" s="3" t="s">
        <v>170</v>
      </c>
      <c r="C58" s="328">
        <f>'19_20 District Budget Summ-14'!O124</f>
        <v>251000</v>
      </c>
      <c r="D58" s="328">
        <f>'PCFP-All Expense AA-1 Modi-14'!J40</f>
        <v>0</v>
      </c>
      <c r="E58" s="487"/>
    </row>
    <row r="59" spans="1:5" hidden="1" x14ac:dyDescent="0.2">
      <c r="A59" s="3">
        <v>4900</v>
      </c>
      <c r="B59" s="3" t="s">
        <v>171</v>
      </c>
      <c r="C59" s="328">
        <f>'19_20 District Budget Summ-14'!O125</f>
        <v>0</v>
      </c>
      <c r="D59" s="328">
        <f>'PCFP-All Expense AA-1 Modi-14'!J41</f>
        <v>0</v>
      </c>
      <c r="E59" s="487"/>
    </row>
    <row r="60" spans="1:5" hidden="1" x14ac:dyDescent="0.2">
      <c r="A60" s="3">
        <v>5000</v>
      </c>
      <c r="B60" s="3" t="s">
        <v>172</v>
      </c>
      <c r="C60" s="328">
        <f>'19_20 District Budget Summ-14'!O126</f>
        <v>425000</v>
      </c>
      <c r="D60" s="328">
        <f>'PCFP-All Expense AA-1 Modi-14'!J42</f>
        <v>0</v>
      </c>
      <c r="E60" s="487"/>
    </row>
    <row r="61" spans="1:5" hidden="1" x14ac:dyDescent="0.2">
      <c r="A61" s="3">
        <v>5000</v>
      </c>
      <c r="B61" s="3" t="s">
        <v>173</v>
      </c>
      <c r="C61" s="328">
        <f>'19_20 District Budget Summ-14'!O127</f>
        <v>0</v>
      </c>
      <c r="D61" s="328">
        <f>'PCFP-All Expense AA-1 Modi-14'!J43</f>
        <v>0</v>
      </c>
      <c r="E61" s="487"/>
    </row>
    <row r="62" spans="1:5" hidden="1" x14ac:dyDescent="0.2">
      <c r="A62" s="3">
        <v>6100</v>
      </c>
      <c r="B62" s="3" t="s">
        <v>174</v>
      </c>
      <c r="C62" s="328">
        <f>'19_20 District Budget Summ-14'!O128</f>
        <v>0</v>
      </c>
      <c r="D62" s="328">
        <f>'PCFP-All Expense AA-1 Modi-14'!J44</f>
        <v>0</v>
      </c>
      <c r="E62" s="487"/>
    </row>
    <row r="63" spans="1:5" hidden="1" x14ac:dyDescent="0.2">
      <c r="A63" s="3">
        <v>6200</v>
      </c>
      <c r="B63" s="3" t="s">
        <v>175</v>
      </c>
      <c r="C63" s="328">
        <f>'19_20 District Budget Summ-14'!O129</f>
        <v>1442307</v>
      </c>
      <c r="D63" s="328">
        <f>'PCFP-All Expense AA-1 Modi-14'!J45</f>
        <v>662755</v>
      </c>
      <c r="E63" s="487"/>
    </row>
    <row r="64" spans="1:5" hidden="1" x14ac:dyDescent="0.2">
      <c r="A64" s="3">
        <v>6300</v>
      </c>
      <c r="B64" s="3" t="s">
        <v>176</v>
      </c>
      <c r="C64" s="328">
        <f>'19_20 District Budget Summ-14'!O130</f>
        <v>0</v>
      </c>
      <c r="D64" s="328">
        <f>'PCFP-All Expense AA-1 Modi-14'!J46</f>
        <v>0</v>
      </c>
      <c r="E64" s="487"/>
    </row>
    <row r="65" spans="1:5" hidden="1" x14ac:dyDescent="0.2">
      <c r="A65" s="3">
        <v>8000</v>
      </c>
      <c r="B65" s="3" t="s">
        <v>177</v>
      </c>
      <c r="C65" s="328">
        <f>'19_20 District Budget Summ-14'!O131</f>
        <v>3900341</v>
      </c>
      <c r="D65" s="328">
        <f>'PCFP-All Expense AA-1 Modi-14'!J47</f>
        <v>1899825</v>
      </c>
      <c r="E65" s="487"/>
    </row>
    <row r="66" spans="1:5" x14ac:dyDescent="0.2">
      <c r="A66" s="3"/>
      <c r="B66" s="3"/>
      <c r="C66" s="328"/>
      <c r="D66" s="328"/>
      <c r="E66" s="487"/>
    </row>
    <row r="67" spans="1:5" s="2" customFormat="1" x14ac:dyDescent="0.2">
      <c r="A67" s="3"/>
      <c r="B67" s="3" t="str">
        <f>'PCFP-All Expense AA-1 Modi-14'!A52</f>
        <v>DEBT SERVICE</v>
      </c>
      <c r="C67" s="328">
        <v>0</v>
      </c>
      <c r="D67" s="328">
        <f>'PCFP-All Expense AA-1 Modi-14'!J52</f>
        <v>1633552</v>
      </c>
      <c r="E67" s="546"/>
    </row>
    <row r="68" spans="1:5" x14ac:dyDescent="0.2">
      <c r="C68" s="43"/>
      <c r="D68" s="43"/>
      <c r="E68" s="487"/>
    </row>
    <row r="69" spans="1:5" s="2" customFormat="1" x14ac:dyDescent="0.2">
      <c r="A69" s="53"/>
      <c r="B69" s="3" t="s">
        <v>178</v>
      </c>
      <c r="C69" s="43">
        <f>SUM(C70:C158)</f>
        <v>-662755</v>
      </c>
      <c r="D69" s="43">
        <f>SUM(D70:D158)</f>
        <v>6660136.9699999997</v>
      </c>
      <c r="E69" s="487"/>
    </row>
    <row r="70" spans="1:5" hidden="1" x14ac:dyDescent="0.2">
      <c r="B70" t="s">
        <v>179</v>
      </c>
      <c r="C70" s="43">
        <f>'19_20 District Budget Summ-14'!O134</f>
        <v>0</v>
      </c>
      <c r="D70" s="43">
        <f>'PCFP-All Expense AA-1 Modi-14'!J56</f>
        <v>0</v>
      </c>
      <c r="E70" s="487"/>
    </row>
    <row r="71" spans="1:5" hidden="1" x14ac:dyDescent="0.2">
      <c r="B71" t="s">
        <v>145</v>
      </c>
      <c r="C71" s="43">
        <f>'19_20 District Budget Summ-14'!O135</f>
        <v>0</v>
      </c>
      <c r="D71" s="43">
        <f>'PCFP-All Expense AA-1 Modi-14'!J57</f>
        <v>92559.97</v>
      </c>
      <c r="E71" s="487"/>
    </row>
    <row r="72" spans="1:5" hidden="1" x14ac:dyDescent="0.2">
      <c r="B72" t="s">
        <v>180</v>
      </c>
      <c r="C72" s="43">
        <f>'19_20 District Budget Summ-14'!O136</f>
        <v>0</v>
      </c>
      <c r="D72" s="43">
        <f>'PCFP-All Expense AA-1 Modi-14'!J58</f>
        <v>1076733</v>
      </c>
      <c r="E72" s="487"/>
    </row>
    <row r="73" spans="1:5" hidden="1" x14ac:dyDescent="0.2">
      <c r="B73" t="s">
        <v>181</v>
      </c>
      <c r="C73" s="43">
        <f>'19_20 District Budget Summ-14'!O137</f>
        <v>0</v>
      </c>
      <c r="D73" s="43">
        <f>'PCFP-All Expense AA-1 Modi-14'!J59</f>
        <v>0</v>
      </c>
      <c r="E73" s="487"/>
    </row>
    <row r="74" spans="1:5" hidden="1" x14ac:dyDescent="0.2">
      <c r="B74" t="s">
        <v>182</v>
      </c>
      <c r="C74" s="43">
        <f>'19_20 District Budget Summ-14'!O138</f>
        <v>0</v>
      </c>
      <c r="D74" s="43">
        <f>'PCFP-All Expense AA-1 Modi-14'!J60</f>
        <v>0</v>
      </c>
      <c r="E74" s="487"/>
    </row>
    <row r="75" spans="1:5" hidden="1" x14ac:dyDescent="0.2">
      <c r="B75" t="s">
        <v>183</v>
      </c>
      <c r="C75" s="43">
        <f>'19_20 District Budget Summ-14'!O139</f>
        <v>0</v>
      </c>
      <c r="D75" s="43">
        <f>'PCFP-All Expense AA-1 Modi-14'!J61</f>
        <v>0</v>
      </c>
      <c r="E75" s="487"/>
    </row>
    <row r="76" spans="1:5" hidden="1" x14ac:dyDescent="0.2">
      <c r="B76" t="s">
        <v>184</v>
      </c>
      <c r="C76" s="43">
        <f>'19_20 District Budget Summ-14'!O140</f>
        <v>0</v>
      </c>
      <c r="D76" s="43">
        <f>'PCFP-All Expense AA-1 Modi-14'!J62</f>
        <v>0</v>
      </c>
      <c r="E76" s="487"/>
    </row>
    <row r="77" spans="1:5" hidden="1" x14ac:dyDescent="0.2">
      <c r="B77" t="s">
        <v>185</v>
      </c>
      <c r="C77" s="43">
        <f>'19_20 District Budget Summ-14'!O141</f>
        <v>0</v>
      </c>
      <c r="D77" s="43">
        <f>'PCFP-All Expense AA-1 Modi-14'!J63</f>
        <v>0</v>
      </c>
      <c r="E77" s="487"/>
    </row>
    <row r="78" spans="1:5" hidden="1" x14ac:dyDescent="0.2">
      <c r="B78" t="s">
        <v>186</v>
      </c>
      <c r="C78" s="43">
        <f>'19_20 District Budget Summ-14'!O142</f>
        <v>0</v>
      </c>
      <c r="D78" s="43">
        <f>'PCFP-All Expense AA-1 Modi-14'!J64</f>
        <v>0</v>
      </c>
      <c r="E78" s="487"/>
    </row>
    <row r="79" spans="1:5" hidden="1" x14ac:dyDescent="0.2">
      <c r="B79" t="s">
        <v>187</v>
      </c>
      <c r="C79" s="43">
        <f>'19_20 District Budget Summ-14'!O143</f>
        <v>0</v>
      </c>
      <c r="D79" s="43">
        <f>'PCFP-All Expense AA-1 Modi-14'!J65</f>
        <v>0</v>
      </c>
      <c r="E79" s="487"/>
    </row>
    <row r="80" spans="1:5" hidden="1" x14ac:dyDescent="0.2">
      <c r="B80" t="s">
        <v>188</v>
      </c>
      <c r="C80" s="43">
        <f>'19_20 District Budget Summ-14'!O144</f>
        <v>0</v>
      </c>
      <c r="D80" s="43">
        <f>'PCFP-All Expense AA-1 Modi-14'!J66</f>
        <v>2212516</v>
      </c>
      <c r="E80" s="487"/>
    </row>
    <row r="81" spans="2:5" hidden="1" x14ac:dyDescent="0.2">
      <c r="B81" t="s">
        <v>189</v>
      </c>
      <c r="C81" s="43">
        <f>'19_20 District Budget Summ-14'!O145</f>
        <v>0</v>
      </c>
      <c r="D81" s="43">
        <f>'PCFP-All Expense AA-1 Modi-14'!J67</f>
        <v>0</v>
      </c>
      <c r="E81" s="487"/>
    </row>
    <row r="82" spans="2:5" hidden="1" x14ac:dyDescent="0.2">
      <c r="B82" t="s">
        <v>190</v>
      </c>
      <c r="C82" s="43">
        <f>'19_20 District Budget Summ-14'!O146</f>
        <v>0</v>
      </c>
      <c r="D82" s="43">
        <f>'PCFP-All Expense AA-1 Modi-14'!J68</f>
        <v>0</v>
      </c>
      <c r="E82" s="487"/>
    </row>
    <row r="83" spans="2:5" hidden="1" x14ac:dyDescent="0.2">
      <c r="B83" t="s">
        <v>191</v>
      </c>
      <c r="C83" s="43">
        <f>'19_20 District Budget Summ-14'!O147</f>
        <v>0</v>
      </c>
      <c r="D83" s="43">
        <f>'PCFP-All Expense AA-1 Modi-14'!J69</f>
        <v>242381</v>
      </c>
      <c r="E83" s="487"/>
    </row>
    <row r="84" spans="2:5" hidden="1" x14ac:dyDescent="0.2">
      <c r="B84" t="s">
        <v>192</v>
      </c>
      <c r="C84" s="43">
        <f>'19_20 District Budget Summ-14'!O148</f>
        <v>0</v>
      </c>
      <c r="D84" s="43">
        <f>'PCFP-All Expense AA-1 Modi-14'!J70</f>
        <v>0</v>
      </c>
      <c r="E84" s="487"/>
    </row>
    <row r="85" spans="2:5" hidden="1" x14ac:dyDescent="0.2">
      <c r="B85" t="s">
        <v>193</v>
      </c>
      <c r="C85" s="43">
        <f>'19_20 District Budget Summ-14'!O149</f>
        <v>0</v>
      </c>
      <c r="D85" s="43">
        <f>'PCFP-All Expense AA-1 Modi-14'!J71</f>
        <v>0</v>
      </c>
      <c r="E85" s="487"/>
    </row>
    <row r="86" spans="2:5" hidden="1" x14ac:dyDescent="0.2">
      <c r="B86" t="s">
        <v>194</v>
      </c>
      <c r="C86" s="43">
        <f>'19_20 District Budget Summ-14'!O150</f>
        <v>0</v>
      </c>
      <c r="D86" s="43">
        <f>'PCFP-All Expense AA-1 Modi-14'!J72</f>
        <v>0</v>
      </c>
      <c r="E86" s="487"/>
    </row>
    <row r="87" spans="2:5" hidden="1" x14ac:dyDescent="0.2">
      <c r="B87" t="s">
        <v>195</v>
      </c>
      <c r="C87" s="43">
        <f>'19_20 District Budget Summ-14'!O151</f>
        <v>0</v>
      </c>
      <c r="D87" s="43">
        <f>'PCFP-All Expense AA-1 Modi-14'!J73</f>
        <v>0</v>
      </c>
      <c r="E87" s="487"/>
    </row>
    <row r="88" spans="2:5" hidden="1" x14ac:dyDescent="0.2">
      <c r="B88" t="s">
        <v>196</v>
      </c>
      <c r="C88" s="43">
        <f>'19_20 District Budget Summ-14'!O152</f>
        <v>0</v>
      </c>
      <c r="D88" s="43">
        <f>'PCFP-All Expense AA-1 Modi-14'!J74</f>
        <v>0</v>
      </c>
      <c r="E88" s="487"/>
    </row>
    <row r="89" spans="2:5" hidden="1" x14ac:dyDescent="0.2">
      <c r="B89" t="s">
        <v>197</v>
      </c>
      <c r="C89" s="43">
        <f>'19_20 District Budget Summ-14'!O153</f>
        <v>0</v>
      </c>
      <c r="D89" s="43">
        <f>'PCFP-All Expense AA-1 Modi-14'!J75</f>
        <v>0</v>
      </c>
      <c r="E89" s="487"/>
    </row>
    <row r="90" spans="2:5" hidden="1" x14ac:dyDescent="0.2">
      <c r="B90" t="s">
        <v>198</v>
      </c>
      <c r="C90" s="43">
        <f>'19_20 District Budget Summ-14'!O154</f>
        <v>0</v>
      </c>
      <c r="D90" s="43">
        <f>'PCFP-All Expense AA-1 Modi-14'!J76</f>
        <v>0</v>
      </c>
      <c r="E90" s="487"/>
    </row>
    <row r="91" spans="2:5" hidden="1" x14ac:dyDescent="0.2">
      <c r="B91" t="s">
        <v>199</v>
      </c>
      <c r="C91" s="43">
        <f>'19_20 District Budget Summ-14'!O155</f>
        <v>0</v>
      </c>
      <c r="D91" s="43">
        <f>'PCFP-All Expense AA-1 Modi-14'!J77</f>
        <v>0</v>
      </c>
      <c r="E91" s="487"/>
    </row>
    <row r="92" spans="2:5" hidden="1" x14ac:dyDescent="0.2">
      <c r="B92" t="s">
        <v>200</v>
      </c>
      <c r="C92" s="43">
        <f>'19_20 District Budget Summ-14'!O156</f>
        <v>0</v>
      </c>
      <c r="D92" s="43">
        <f>'PCFP-All Expense AA-1 Modi-14'!J78</f>
        <v>0</v>
      </c>
      <c r="E92" s="487"/>
    </row>
    <row r="93" spans="2:5" hidden="1" x14ac:dyDescent="0.2">
      <c r="B93" t="s">
        <v>201</v>
      </c>
      <c r="C93" s="43">
        <f>'19_20 District Budget Summ-14'!O157</f>
        <v>0</v>
      </c>
      <c r="D93" s="43">
        <f>'PCFP-All Expense AA-1 Modi-14'!J79</f>
        <v>0</v>
      </c>
      <c r="E93" s="487"/>
    </row>
    <row r="94" spans="2:5" hidden="1" x14ac:dyDescent="0.2">
      <c r="B94" t="s">
        <v>202</v>
      </c>
      <c r="C94" s="43">
        <f>'19_20 District Budget Summ-14'!O158</f>
        <v>0</v>
      </c>
      <c r="D94" s="43">
        <f>'PCFP-All Expense AA-1 Modi-14'!J80</f>
        <v>0</v>
      </c>
      <c r="E94" s="487"/>
    </row>
    <row r="95" spans="2:5" hidden="1" x14ac:dyDescent="0.2">
      <c r="B95" t="s">
        <v>203</v>
      </c>
      <c r="C95" s="43">
        <f>'19_20 District Budget Summ-14'!O159</f>
        <v>0</v>
      </c>
      <c r="D95" s="43">
        <f>'PCFP-All Expense AA-1 Modi-14'!J81</f>
        <v>0</v>
      </c>
      <c r="E95" s="487"/>
    </row>
    <row r="96" spans="2:5" hidden="1" x14ac:dyDescent="0.2">
      <c r="B96" t="s">
        <v>204</v>
      </c>
      <c r="C96" s="43">
        <f>'19_20 District Budget Summ-14'!O160</f>
        <v>0</v>
      </c>
      <c r="D96" s="43">
        <f>'PCFP-All Expense AA-1 Modi-14'!J82</f>
        <v>961378</v>
      </c>
      <c r="E96" s="487"/>
    </row>
    <row r="97" spans="2:5" hidden="1" x14ac:dyDescent="0.2">
      <c r="B97" t="s">
        <v>205</v>
      </c>
      <c r="C97" s="43">
        <f>'19_20 District Budget Summ-14'!O161</f>
        <v>0</v>
      </c>
      <c r="D97" s="43">
        <f>'PCFP-All Expense AA-1 Modi-14'!J83</f>
        <v>0</v>
      </c>
      <c r="E97" s="487"/>
    </row>
    <row r="98" spans="2:5" hidden="1" x14ac:dyDescent="0.2">
      <c r="B98" t="s">
        <v>206</v>
      </c>
      <c r="C98" s="43">
        <f>'19_20 District Budget Summ-14'!O162</f>
        <v>-60175</v>
      </c>
      <c r="D98" s="43">
        <f>'PCFP-All Expense AA-1 Modi-14'!J84</f>
        <v>0</v>
      </c>
      <c r="E98" s="487"/>
    </row>
    <row r="99" spans="2:5" hidden="1" x14ac:dyDescent="0.2">
      <c r="B99" t="s">
        <v>207</v>
      </c>
      <c r="C99" s="43">
        <f>'19_20 District Budget Summ-14'!O163</f>
        <v>0</v>
      </c>
      <c r="D99" s="43">
        <f>'PCFP-All Expense AA-1 Modi-14'!J85</f>
        <v>0</v>
      </c>
      <c r="E99" s="487"/>
    </row>
    <row r="100" spans="2:5" hidden="1" x14ac:dyDescent="0.2">
      <c r="B100" t="s">
        <v>208</v>
      </c>
      <c r="C100" s="43">
        <f>'19_20 District Budget Summ-14'!O164</f>
        <v>0</v>
      </c>
      <c r="D100" s="43">
        <f>'PCFP-All Expense AA-1 Modi-14'!J86</f>
        <v>0</v>
      </c>
      <c r="E100" s="487"/>
    </row>
    <row r="101" spans="2:5" hidden="1" x14ac:dyDescent="0.2">
      <c r="B101" t="s">
        <v>209</v>
      </c>
      <c r="C101" s="43">
        <f>'19_20 District Budget Summ-14'!O165</f>
        <v>0</v>
      </c>
      <c r="D101" s="43">
        <f>'PCFP-All Expense AA-1 Modi-14'!J87</f>
        <v>0</v>
      </c>
      <c r="E101" s="487"/>
    </row>
    <row r="102" spans="2:5" hidden="1" x14ac:dyDescent="0.2">
      <c r="B102" t="s">
        <v>210</v>
      </c>
      <c r="C102" s="43">
        <f>'19_20 District Budget Summ-14'!O166</f>
        <v>0</v>
      </c>
      <c r="D102" s="43">
        <f>'PCFP-All Expense AA-1 Modi-14'!J88</f>
        <v>0</v>
      </c>
      <c r="E102" s="487"/>
    </row>
    <row r="103" spans="2:5" hidden="1" x14ac:dyDescent="0.2">
      <c r="B103" t="s">
        <v>211</v>
      </c>
      <c r="C103" s="43">
        <f>'19_20 District Budget Summ-14'!O167</f>
        <v>0</v>
      </c>
      <c r="D103" s="43">
        <f>'PCFP-All Expense AA-1 Modi-14'!J89</f>
        <v>353345</v>
      </c>
      <c r="E103" s="487"/>
    </row>
    <row r="104" spans="2:5" hidden="1" x14ac:dyDescent="0.2">
      <c r="B104" t="s">
        <v>212</v>
      </c>
      <c r="C104" s="43">
        <f>'19_20 District Budget Summ-14'!O168</f>
        <v>0</v>
      </c>
      <c r="D104" s="43">
        <f>'PCFP-All Expense AA-1 Modi-14'!J90</f>
        <v>0</v>
      </c>
      <c r="E104" s="487"/>
    </row>
    <row r="105" spans="2:5" hidden="1" x14ac:dyDescent="0.2">
      <c r="B105" t="s">
        <v>213</v>
      </c>
      <c r="C105" s="43">
        <f>'19_20 District Budget Summ-14'!O169</f>
        <v>0</v>
      </c>
      <c r="D105" s="43">
        <f>'PCFP-All Expense AA-1 Modi-14'!J91</f>
        <v>0</v>
      </c>
      <c r="E105" s="487"/>
    </row>
    <row r="106" spans="2:5" hidden="1" x14ac:dyDescent="0.2">
      <c r="B106" t="s">
        <v>214</v>
      </c>
      <c r="C106" s="43">
        <f>'19_20 District Budget Summ-14'!O170</f>
        <v>0</v>
      </c>
      <c r="D106" s="43">
        <f>'PCFP-All Expense AA-1 Modi-14'!J92</f>
        <v>0</v>
      </c>
      <c r="E106" s="487"/>
    </row>
    <row r="107" spans="2:5" hidden="1" x14ac:dyDescent="0.2">
      <c r="B107" t="s">
        <v>215</v>
      </c>
      <c r="C107" s="43">
        <f>'19_20 District Budget Summ-14'!O171</f>
        <v>0</v>
      </c>
      <c r="D107" s="43">
        <f>'PCFP-All Expense AA-1 Modi-14'!J93</f>
        <v>0</v>
      </c>
      <c r="E107" s="487"/>
    </row>
    <row r="108" spans="2:5" hidden="1" x14ac:dyDescent="0.2">
      <c r="B108" t="s">
        <v>216</v>
      </c>
      <c r="C108" s="43">
        <f>'19_20 District Budget Summ-14'!O172</f>
        <v>0</v>
      </c>
      <c r="D108" s="43">
        <f>'PCFP-All Expense AA-1 Modi-14'!J94</f>
        <v>0</v>
      </c>
      <c r="E108" s="487"/>
    </row>
    <row r="109" spans="2:5" hidden="1" x14ac:dyDescent="0.2">
      <c r="B109" t="s">
        <v>217</v>
      </c>
      <c r="C109" s="43">
        <f>'19_20 District Budget Summ-14'!O173</f>
        <v>0</v>
      </c>
      <c r="D109" s="43">
        <f>'PCFP-All Expense AA-1 Modi-14'!J95</f>
        <v>0</v>
      </c>
      <c r="E109" s="487"/>
    </row>
    <row r="110" spans="2:5" hidden="1" x14ac:dyDescent="0.2">
      <c r="B110" t="s">
        <v>218</v>
      </c>
      <c r="C110" s="43">
        <f>'19_20 District Budget Summ-14'!O174</f>
        <v>0</v>
      </c>
      <c r="D110" s="43">
        <f>'PCFP-All Expense AA-1 Modi-14'!J96</f>
        <v>0</v>
      </c>
      <c r="E110" s="487"/>
    </row>
    <row r="111" spans="2:5" hidden="1" x14ac:dyDescent="0.2">
      <c r="B111" t="s">
        <v>219</v>
      </c>
      <c r="C111" s="43">
        <f>'19_20 District Budget Summ-14'!O175</f>
        <v>0</v>
      </c>
      <c r="D111" s="43">
        <f>'PCFP-All Expense AA-1 Modi-14'!J97</f>
        <v>0</v>
      </c>
      <c r="E111" s="487"/>
    </row>
    <row r="112" spans="2:5" hidden="1" x14ac:dyDescent="0.2">
      <c r="B112" t="s">
        <v>220</v>
      </c>
      <c r="C112" s="43">
        <f>'19_20 District Budget Summ-14'!O176</f>
        <v>0</v>
      </c>
      <c r="D112" s="43">
        <f>'PCFP-All Expense AA-1 Modi-14'!J98</f>
        <v>0</v>
      </c>
      <c r="E112" s="487"/>
    </row>
    <row r="113" spans="1:5" hidden="1" x14ac:dyDescent="0.2">
      <c r="B113" t="s">
        <v>221</v>
      </c>
      <c r="C113" s="43">
        <f>'19_20 District Budget Summ-14'!O177</f>
        <v>0</v>
      </c>
      <c r="D113" s="43">
        <f>'PCFP-All Expense AA-1 Modi-14'!J99</f>
        <v>0</v>
      </c>
      <c r="E113" s="487"/>
    </row>
    <row r="114" spans="1:5" hidden="1" x14ac:dyDescent="0.2">
      <c r="A114" s="2" t="s">
        <v>10</v>
      </c>
      <c r="B114" t="s">
        <v>142</v>
      </c>
      <c r="C114" s="43">
        <f>'19_20 District Budget Summ-14'!O178</f>
        <v>0</v>
      </c>
      <c r="D114" s="43">
        <f>'PCFP-All Expense AA-1 Modi-14'!J100</f>
        <v>0</v>
      </c>
      <c r="E114" s="487"/>
    </row>
    <row r="115" spans="1:5" hidden="1" x14ac:dyDescent="0.2">
      <c r="A115" s="2" t="s">
        <v>10</v>
      </c>
      <c r="B115" t="s">
        <v>141</v>
      </c>
      <c r="C115" s="43">
        <f>'19_20 District Budget Summ-14'!O179</f>
        <v>0</v>
      </c>
      <c r="D115" s="43">
        <f>'PCFP-All Expense AA-1 Modi-14'!J101</f>
        <v>0</v>
      </c>
      <c r="E115" s="487"/>
    </row>
    <row r="116" spans="1:5" hidden="1" x14ac:dyDescent="0.2">
      <c r="A116" s="2" t="s">
        <v>33</v>
      </c>
      <c r="B116" t="s">
        <v>222</v>
      </c>
      <c r="C116" s="43">
        <f>'19_20 District Budget Summ-14'!O180</f>
        <v>0</v>
      </c>
      <c r="D116" s="43">
        <f>'PCFP-All Expense AA-1 Modi-14'!J102</f>
        <v>0</v>
      </c>
      <c r="E116" s="487"/>
    </row>
    <row r="117" spans="1:5" hidden="1" x14ac:dyDescent="0.2">
      <c r="A117" s="2" t="s">
        <v>10</v>
      </c>
      <c r="B117" t="s">
        <v>138</v>
      </c>
      <c r="C117" s="43">
        <f>'19_20 District Budget Summ-14'!O181</f>
        <v>0</v>
      </c>
      <c r="D117" s="43">
        <f>'PCFP-All Expense AA-1 Modi-14'!J103</f>
        <v>0</v>
      </c>
      <c r="E117" s="487"/>
    </row>
    <row r="118" spans="1:5" hidden="1" x14ac:dyDescent="0.2">
      <c r="A118" s="2" t="s">
        <v>10</v>
      </c>
      <c r="B118" t="s">
        <v>136</v>
      </c>
      <c r="C118" s="43">
        <f>'19_20 District Budget Summ-14'!O182</f>
        <v>0</v>
      </c>
      <c r="D118" s="43">
        <f>'PCFP-All Expense AA-1 Modi-14'!J104</f>
        <v>0</v>
      </c>
      <c r="E118" s="487"/>
    </row>
    <row r="119" spans="1:5" hidden="1" x14ac:dyDescent="0.2">
      <c r="B119" t="s">
        <v>223</v>
      </c>
      <c r="C119" s="43">
        <f>'19_20 District Budget Summ-14'!O183</f>
        <v>0</v>
      </c>
      <c r="D119" s="43">
        <f>'PCFP-All Expense AA-1 Modi-14'!J105</f>
        <v>0</v>
      </c>
      <c r="E119" s="487"/>
    </row>
    <row r="120" spans="1:5" hidden="1" x14ac:dyDescent="0.2">
      <c r="B120" t="s">
        <v>224</v>
      </c>
      <c r="C120" s="43">
        <f>'19_20 District Budget Summ-14'!O184</f>
        <v>0</v>
      </c>
      <c r="D120" s="43">
        <f>'PCFP-All Expense AA-1 Modi-14'!J106</f>
        <v>0</v>
      </c>
      <c r="E120" s="487"/>
    </row>
    <row r="121" spans="1:5" hidden="1" x14ac:dyDescent="0.2">
      <c r="B121" t="s">
        <v>225</v>
      </c>
      <c r="C121" s="43">
        <f>'19_20 District Budget Summ-14'!O185</f>
        <v>0</v>
      </c>
      <c r="D121" s="43">
        <f>'PCFP-All Expense AA-1 Modi-14'!J107</f>
        <v>0</v>
      </c>
      <c r="E121" s="487"/>
    </row>
    <row r="122" spans="1:5" hidden="1" x14ac:dyDescent="0.2">
      <c r="B122" t="s">
        <v>226</v>
      </c>
      <c r="C122" s="43">
        <f>'19_20 District Budget Summ-14'!O186</f>
        <v>0</v>
      </c>
      <c r="D122" s="43">
        <f>'PCFP-All Expense AA-1 Modi-14'!J108</f>
        <v>0</v>
      </c>
      <c r="E122" s="487"/>
    </row>
    <row r="123" spans="1:5" hidden="1" x14ac:dyDescent="0.2">
      <c r="B123" t="s">
        <v>227</v>
      </c>
      <c r="C123" s="43">
        <f>'19_20 District Budget Summ-14'!O187</f>
        <v>0</v>
      </c>
      <c r="D123" s="43">
        <f>'PCFP-All Expense AA-1 Modi-14'!J109</f>
        <v>0</v>
      </c>
      <c r="E123" s="487"/>
    </row>
    <row r="124" spans="1:5" hidden="1" x14ac:dyDescent="0.2">
      <c r="B124" t="s">
        <v>228</v>
      </c>
      <c r="C124" s="43">
        <f>'19_20 District Budget Summ-14'!O188</f>
        <v>0</v>
      </c>
      <c r="D124" s="43">
        <f>'PCFP-All Expense AA-1 Modi-14'!J110</f>
        <v>0</v>
      </c>
      <c r="E124" s="487"/>
    </row>
    <row r="125" spans="1:5" hidden="1" x14ac:dyDescent="0.2">
      <c r="B125" t="s">
        <v>229</v>
      </c>
      <c r="C125" s="43">
        <f>'19_20 District Budget Summ-14'!O189</f>
        <v>0</v>
      </c>
      <c r="D125" s="43">
        <f>'PCFP-All Expense AA-1 Modi-14'!J111</f>
        <v>0</v>
      </c>
      <c r="E125" s="487"/>
    </row>
    <row r="126" spans="1:5" hidden="1" x14ac:dyDescent="0.2">
      <c r="B126" t="s">
        <v>230</v>
      </c>
      <c r="C126" s="43">
        <f>'19_20 District Budget Summ-14'!O190</f>
        <v>0</v>
      </c>
      <c r="D126" s="43">
        <f>'PCFP-All Expense AA-1 Modi-14'!J112</f>
        <v>0</v>
      </c>
      <c r="E126" s="487"/>
    </row>
    <row r="127" spans="1:5" hidden="1" x14ac:dyDescent="0.2">
      <c r="B127" t="s">
        <v>231</v>
      </c>
      <c r="C127" s="43">
        <f>'19_20 District Budget Summ-14'!O191</f>
        <v>0</v>
      </c>
      <c r="D127" s="43">
        <f>'PCFP-All Expense AA-1 Modi-14'!J113</f>
        <v>0</v>
      </c>
      <c r="E127" s="487"/>
    </row>
    <row r="128" spans="1:5" hidden="1" x14ac:dyDescent="0.2">
      <c r="B128" t="s">
        <v>232</v>
      </c>
      <c r="C128" s="43">
        <f>'19_20 District Budget Summ-14'!O192</f>
        <v>0</v>
      </c>
      <c r="D128" s="43">
        <f>'PCFP-All Expense AA-1 Modi-14'!J114</f>
        <v>0</v>
      </c>
      <c r="E128" s="487"/>
    </row>
    <row r="129" spans="2:5" hidden="1" x14ac:dyDescent="0.2">
      <c r="B129" t="s">
        <v>233</v>
      </c>
      <c r="C129" s="43">
        <f>'19_20 District Budget Summ-14'!O193</f>
        <v>0</v>
      </c>
      <c r="D129" s="43">
        <f>'PCFP-All Expense AA-1 Modi-14'!J115</f>
        <v>5970</v>
      </c>
      <c r="E129" s="487"/>
    </row>
    <row r="130" spans="2:5" hidden="1" x14ac:dyDescent="0.2">
      <c r="B130" t="s">
        <v>234</v>
      </c>
      <c r="C130" s="43">
        <f>'19_20 District Budget Summ-14'!O194</f>
        <v>0</v>
      </c>
      <c r="D130" s="43">
        <f>'PCFP-All Expense AA-1 Modi-14'!J116</f>
        <v>0</v>
      </c>
      <c r="E130" s="487"/>
    </row>
    <row r="131" spans="2:5" hidden="1" x14ac:dyDescent="0.2">
      <c r="B131" t="s">
        <v>9</v>
      </c>
      <c r="C131" s="43">
        <f>'19_20 District Budget Summ-14'!O195</f>
        <v>-602580</v>
      </c>
      <c r="D131" s="43">
        <f>'PCFP-All Expense AA-1 Modi-14'!J117</f>
        <v>1395242</v>
      </c>
      <c r="E131" s="487"/>
    </row>
    <row r="132" spans="2:5" hidden="1" x14ac:dyDescent="0.2">
      <c r="B132" s="3" t="s">
        <v>235</v>
      </c>
      <c r="C132" s="43">
        <f>'19_20 District Budget Summ-14'!O197</f>
        <v>0</v>
      </c>
      <c r="D132" s="43">
        <f>'PCFP-All Expense AA-1 Modi-14'!J118</f>
        <v>932767</v>
      </c>
      <c r="E132" s="487"/>
    </row>
    <row r="133" spans="2:5" hidden="1" x14ac:dyDescent="0.2">
      <c r="B133" t="s">
        <v>236</v>
      </c>
      <c r="C133" s="43">
        <f>'19_20 District Budget Summ-14'!O198</f>
        <v>0</v>
      </c>
      <c r="D133" s="43">
        <f>'PCFP-All Expense AA-1 Modi-14'!J119</f>
        <v>0</v>
      </c>
      <c r="E133" s="487"/>
    </row>
    <row r="134" spans="2:5" hidden="1" x14ac:dyDescent="0.2">
      <c r="B134" t="s">
        <v>237</v>
      </c>
      <c r="C134" s="43">
        <f>'19_20 District Budget Summ-14'!O199</f>
        <v>0</v>
      </c>
      <c r="D134" s="43">
        <f>'PCFP-All Expense AA-1 Modi-14'!J120</f>
        <v>0</v>
      </c>
      <c r="E134" s="487"/>
    </row>
    <row r="135" spans="2:5" hidden="1" x14ac:dyDescent="0.2">
      <c r="B135" t="s">
        <v>238</v>
      </c>
      <c r="C135" s="43">
        <f>'19_20 District Budget Summ-14'!O200</f>
        <v>0</v>
      </c>
      <c r="D135" s="43">
        <f>'PCFP-All Expense AA-1 Modi-14'!J121</f>
        <v>0</v>
      </c>
      <c r="E135" s="487"/>
    </row>
    <row r="136" spans="2:5" hidden="1" x14ac:dyDescent="0.2">
      <c r="B136" t="s">
        <v>239</v>
      </c>
      <c r="C136" s="43">
        <f>'19_20 District Budget Summ-14'!O201</f>
        <v>0</v>
      </c>
      <c r="D136" s="43">
        <f>'PCFP-All Expense AA-1 Modi-14'!J122</f>
        <v>0</v>
      </c>
      <c r="E136" s="487"/>
    </row>
    <row r="137" spans="2:5" hidden="1" x14ac:dyDescent="0.2">
      <c r="B137" t="s">
        <v>240</v>
      </c>
      <c r="C137" s="43">
        <f>'19_20 District Budget Summ-14'!O202</f>
        <v>0</v>
      </c>
      <c r="D137" s="43">
        <f>'PCFP-All Expense AA-1 Modi-14'!J123</f>
        <v>0</v>
      </c>
      <c r="E137" s="487"/>
    </row>
    <row r="138" spans="2:5" hidden="1" x14ac:dyDescent="0.2">
      <c r="B138" t="s">
        <v>241</v>
      </c>
      <c r="C138" s="43">
        <f>'19_20 District Budget Summ-14'!O203</f>
        <v>0</v>
      </c>
      <c r="D138" s="43">
        <f>'PCFP-All Expense AA-1 Modi-14'!J124</f>
        <v>0</v>
      </c>
      <c r="E138" s="487"/>
    </row>
    <row r="139" spans="2:5" hidden="1" x14ac:dyDescent="0.2">
      <c r="B139" t="s">
        <v>242</v>
      </c>
      <c r="C139" s="43">
        <f>'19_20 District Budget Summ-14'!O204</f>
        <v>0</v>
      </c>
      <c r="D139" s="43">
        <f>'PCFP-All Expense AA-1 Modi-14'!J125</f>
        <v>0</v>
      </c>
      <c r="E139" s="487"/>
    </row>
    <row r="140" spans="2:5" hidden="1" x14ac:dyDescent="0.2">
      <c r="B140" t="s">
        <v>243</v>
      </c>
      <c r="C140" s="43">
        <f>'19_20 District Budget Summ-14'!O205</f>
        <v>0</v>
      </c>
      <c r="D140" s="43">
        <f>'PCFP-All Expense AA-1 Modi-14'!J126</f>
        <v>50000</v>
      </c>
      <c r="E140" s="487"/>
    </row>
    <row r="141" spans="2:5" hidden="1" x14ac:dyDescent="0.2">
      <c r="B141" t="s">
        <v>244</v>
      </c>
      <c r="C141" s="43">
        <f>'19_20 District Budget Summ-14'!O206</f>
        <v>0</v>
      </c>
      <c r="D141" s="43">
        <f>'PCFP-All Expense AA-1 Modi-14'!J127</f>
        <v>0</v>
      </c>
      <c r="E141" s="487"/>
    </row>
    <row r="142" spans="2:5" hidden="1" x14ac:dyDescent="0.2">
      <c r="B142" s="2" t="s">
        <v>245</v>
      </c>
      <c r="C142" s="43"/>
      <c r="D142" s="43">
        <f>'PCFP-All Expense AA-1 Modi-14'!J128</f>
        <v>0</v>
      </c>
      <c r="E142" s="487"/>
    </row>
    <row r="143" spans="2:5" hidden="1" x14ac:dyDescent="0.2">
      <c r="B143" t="s">
        <v>246</v>
      </c>
      <c r="C143" s="43">
        <f>'19_20 District Budget Summ-14'!O208</f>
        <v>0</v>
      </c>
      <c r="D143" s="43">
        <f>'PCFP-All Expense AA-1 Modi-14'!J129</f>
        <v>0</v>
      </c>
      <c r="E143" s="487"/>
    </row>
    <row r="144" spans="2:5" hidden="1" x14ac:dyDescent="0.2">
      <c r="B144" t="s">
        <v>247</v>
      </c>
      <c r="C144" s="43">
        <f>'19_20 District Budget Summ-14'!O209</f>
        <v>0</v>
      </c>
      <c r="D144" s="43">
        <f>'PCFP-All Expense AA-1 Modi-14'!J130</f>
        <v>0</v>
      </c>
      <c r="E144" s="487"/>
    </row>
    <row r="145" spans="2:5" hidden="1" x14ac:dyDescent="0.2">
      <c r="B145" t="s">
        <v>248</v>
      </c>
      <c r="C145" s="43">
        <f>'19_20 District Budget Summ-14'!O210</f>
        <v>0</v>
      </c>
      <c r="D145" s="43">
        <f>'PCFP-All Expense AA-1 Modi-14'!J131</f>
        <v>0</v>
      </c>
      <c r="E145" s="487"/>
    </row>
    <row r="146" spans="2:5" hidden="1" x14ac:dyDescent="0.2">
      <c r="B146" t="s">
        <v>249</v>
      </c>
      <c r="C146" s="43">
        <f>'19_20 District Budget Summ-14'!O211</f>
        <v>0</v>
      </c>
      <c r="D146" s="43">
        <f>'PCFP-All Expense AA-1 Modi-14'!J132</f>
        <v>0</v>
      </c>
      <c r="E146" s="487"/>
    </row>
    <row r="147" spans="2:5" hidden="1" x14ac:dyDescent="0.2">
      <c r="B147" t="s">
        <v>250</v>
      </c>
      <c r="C147" s="43">
        <f>'19_20 District Budget Summ-14'!O212</f>
        <v>0</v>
      </c>
      <c r="D147" s="43">
        <f>'PCFP-All Expense AA-1 Modi-14'!J133</f>
        <v>0</v>
      </c>
      <c r="E147" s="487"/>
    </row>
    <row r="148" spans="2:5" hidden="1" x14ac:dyDescent="0.2">
      <c r="B148" t="s">
        <v>251</v>
      </c>
      <c r="C148" s="43">
        <f>'19_20 District Budget Summ-14'!O213</f>
        <v>0</v>
      </c>
      <c r="D148" s="43">
        <f>'PCFP-All Expense AA-1 Modi-14'!J134</f>
        <v>0</v>
      </c>
      <c r="E148" s="487"/>
    </row>
    <row r="149" spans="2:5" hidden="1" x14ac:dyDescent="0.2">
      <c r="B149" t="s">
        <v>252</v>
      </c>
      <c r="C149" s="43">
        <f>'19_20 District Budget Summ-14'!O214</f>
        <v>0</v>
      </c>
      <c r="D149" s="43">
        <f>'PCFP-All Expense AA-1 Modi-14'!J135</f>
        <v>0</v>
      </c>
      <c r="E149" s="487"/>
    </row>
    <row r="150" spans="2:5" hidden="1" x14ac:dyDescent="0.2">
      <c r="B150" t="s">
        <v>253</v>
      </c>
      <c r="C150" s="43">
        <f>'19_20 District Budget Summ-14'!O215</f>
        <v>0</v>
      </c>
      <c r="D150" s="43">
        <f>'PCFP-All Expense AA-1 Modi-14'!J136</f>
        <v>0</v>
      </c>
      <c r="E150" s="487"/>
    </row>
    <row r="151" spans="2:5" hidden="1" x14ac:dyDescent="0.2">
      <c r="B151" t="s">
        <v>254</v>
      </c>
      <c r="C151" s="43">
        <f>'19_20 District Budget Summ-14'!O216</f>
        <v>0</v>
      </c>
      <c r="D151" s="43">
        <f>'PCFP-All Expense AA-1 Modi-14'!J137</f>
        <v>0</v>
      </c>
      <c r="E151" s="487"/>
    </row>
    <row r="152" spans="2:5" hidden="1" x14ac:dyDescent="0.2">
      <c r="B152" t="s">
        <v>255</v>
      </c>
      <c r="C152" s="43">
        <f>'19_20 District Budget Summ-14'!O217</f>
        <v>0</v>
      </c>
      <c r="D152" s="43">
        <f>'PCFP-All Expense AA-1 Modi-14'!J138</f>
        <v>0</v>
      </c>
      <c r="E152" s="487"/>
    </row>
    <row r="153" spans="2:5" hidden="1" x14ac:dyDescent="0.2">
      <c r="B153" t="s">
        <v>256</v>
      </c>
      <c r="C153" s="43">
        <f>'19_20 District Budget Summ-14'!O218</f>
        <v>0</v>
      </c>
      <c r="D153" s="43">
        <f>'PCFP-All Expense AA-1 Modi-14'!J139</f>
        <v>0</v>
      </c>
      <c r="E153" s="487"/>
    </row>
    <row r="154" spans="2:5" hidden="1" x14ac:dyDescent="0.2">
      <c r="B154" t="s">
        <v>257</v>
      </c>
      <c r="C154" s="43">
        <f>'19_20 District Budget Summ-14'!O219</f>
        <v>0</v>
      </c>
      <c r="D154" s="43">
        <f>'PCFP-All Expense AA-1 Modi-14'!J140</f>
        <v>0</v>
      </c>
      <c r="E154" s="487"/>
    </row>
    <row r="155" spans="2:5" hidden="1" x14ac:dyDescent="0.2">
      <c r="B155" t="s">
        <v>258</v>
      </c>
      <c r="C155" s="43">
        <f>'19_20 District Budget Summ-14'!O220</f>
        <v>0</v>
      </c>
      <c r="D155" s="43">
        <f>'PCFP-All Expense AA-1 Modi-14'!J141</f>
        <v>0</v>
      </c>
      <c r="E155" s="487"/>
    </row>
    <row r="156" spans="2:5" hidden="1" x14ac:dyDescent="0.2">
      <c r="B156" t="s">
        <v>259</v>
      </c>
      <c r="C156" s="43">
        <f>'19_20 District Budget Summ-14'!O221</f>
        <v>0</v>
      </c>
      <c r="D156" s="43">
        <f>'PCFP-All Expense AA-1 Modi-14'!J142</f>
        <v>0</v>
      </c>
      <c r="E156" s="487"/>
    </row>
    <row r="157" spans="2:5" hidden="1" x14ac:dyDescent="0.2">
      <c r="B157" t="s">
        <v>260</v>
      </c>
      <c r="C157" s="43">
        <f>'19_20 District Budget Summ-14'!O222</f>
        <v>0</v>
      </c>
      <c r="D157" s="43">
        <f>'PCFP-All Expense AA-1 Modi-14'!J143</f>
        <v>0</v>
      </c>
      <c r="E157" s="487"/>
    </row>
    <row r="158" spans="2:5" hidden="1" x14ac:dyDescent="0.2">
      <c r="B158" t="str">
        <f>'PCFP-All Expense AA-1 Modi-14'!B146</f>
        <v>Less:  Interfund Transfers</v>
      </c>
      <c r="C158" s="43">
        <v>0</v>
      </c>
      <c r="D158" s="43">
        <f>'PCFP-All Expense AA-1 Modi-14'!J146</f>
        <v>-662755</v>
      </c>
      <c r="E158" s="487"/>
    </row>
  </sheetData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B1F49-A229-4008-9CA9-B993E1A453F8}">
  <dimension ref="A1:R223"/>
  <sheetViews>
    <sheetView showGridLines="0" zoomScale="85" zoomScaleNormal="85" workbookViewId="0">
      <selection activeCell="C5" sqref="C5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5" style="12" bestFit="1" customWidth="1"/>
    <col min="4" max="4" width="14.7109375" style="12" bestFit="1" customWidth="1"/>
    <col min="5" max="5" width="20.85546875" style="12" bestFit="1" customWidth="1"/>
    <col min="6" max="6" width="16" style="12" bestFit="1" customWidth="1"/>
    <col min="7" max="7" width="12.7109375" style="12" bestFit="1" customWidth="1"/>
    <col min="8" max="8" width="14" style="12" bestFit="1" customWidth="1"/>
    <col min="9" max="9" width="15.28515625" style="12" bestFit="1" customWidth="1"/>
    <col min="10" max="10" width="14.85546875" style="12" bestFit="1" customWidth="1"/>
    <col min="11" max="11" width="14.140625" style="12" bestFit="1" customWidth="1"/>
    <col min="12" max="12" width="15" style="12" bestFit="1" customWidth="1"/>
    <col min="13" max="13" width="12.28515625" style="12" bestFit="1" customWidth="1"/>
    <col min="14" max="14" width="13.7109375" style="12" bestFit="1" customWidth="1"/>
    <col min="15" max="15" width="32.85546875" customWidth="1"/>
    <col min="16" max="16" width="14.85546875" bestFit="1" customWidth="1"/>
    <col min="17" max="17" width="16.5703125" hidden="1" customWidth="1"/>
    <col min="18" max="18" width="18.5703125" style="520" hidden="1" customWidth="1"/>
  </cols>
  <sheetData>
    <row r="1" spans="1:18" s="8" customFormat="1" ht="18" x14ac:dyDescent="0.25">
      <c r="A1" s="6"/>
      <c r="B1" s="9" t="s">
        <v>261</v>
      </c>
      <c r="C1" s="535" t="s">
        <v>733</v>
      </c>
      <c r="D1" s="10" t="s">
        <v>119</v>
      </c>
      <c r="E1" s="332" t="s">
        <v>262</v>
      </c>
      <c r="F1" s="333">
        <v>19833179</v>
      </c>
      <c r="G1" s="10"/>
      <c r="I1" s="10"/>
      <c r="J1" s="10"/>
      <c r="K1" s="10"/>
      <c r="R1" s="517"/>
    </row>
    <row r="3" spans="1:18" s="15" customFormat="1" ht="38.25" x14ac:dyDescent="0.2">
      <c r="A3" s="13"/>
      <c r="B3" s="13" t="s">
        <v>120</v>
      </c>
      <c r="C3" s="14" t="s">
        <v>263</v>
      </c>
      <c r="D3" s="14" t="s">
        <v>173</v>
      </c>
      <c r="E3" s="14" t="s">
        <v>191</v>
      </c>
      <c r="F3" s="14" t="s">
        <v>145</v>
      </c>
      <c r="G3" s="14" t="s">
        <v>236</v>
      </c>
      <c r="H3" s="14" t="s">
        <v>9</v>
      </c>
      <c r="I3" s="14" t="s">
        <v>204</v>
      </c>
      <c r="J3" s="14" t="s">
        <v>206</v>
      </c>
      <c r="K3" s="14" t="s">
        <v>188</v>
      </c>
      <c r="L3" s="14" t="s">
        <v>271</v>
      </c>
      <c r="M3" s="14" t="s">
        <v>233</v>
      </c>
      <c r="N3" s="14" t="s">
        <v>272</v>
      </c>
      <c r="O3" s="13" t="s">
        <v>273</v>
      </c>
      <c r="R3" s="518"/>
    </row>
    <row r="4" spans="1:18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3"/>
      <c r="Q4" s="290">
        <f>SUM(Q5:Q12)</f>
        <v>3368414</v>
      </c>
      <c r="R4" s="518"/>
    </row>
    <row r="5" spans="1:18" s="291" customFormat="1" x14ac:dyDescent="0.2">
      <c r="B5" s="292" t="s">
        <v>274</v>
      </c>
      <c r="C5" s="915">
        <v>2005442</v>
      </c>
      <c r="D5" s="915">
        <v>1097237</v>
      </c>
      <c r="E5" s="915">
        <v>0</v>
      </c>
      <c r="F5" s="915">
        <v>0</v>
      </c>
      <c r="G5" s="915">
        <v>0</v>
      </c>
      <c r="H5" s="915">
        <v>0</v>
      </c>
      <c r="I5" s="915">
        <v>0</v>
      </c>
      <c r="J5" s="915">
        <v>0</v>
      </c>
      <c r="K5" s="915">
        <v>0</v>
      </c>
      <c r="L5" s="915">
        <v>0</v>
      </c>
      <c r="M5" s="915">
        <v>0</v>
      </c>
      <c r="N5" s="915">
        <v>0</v>
      </c>
      <c r="O5" s="915" t="str">
        <f t="shared" ref="O5:O33" si="0">B5</f>
        <v>Property Taxes</v>
      </c>
      <c r="P5" s="936">
        <f t="shared" ref="P5:P33" si="1">SUM(C5:N5)</f>
        <v>3102679</v>
      </c>
      <c r="Q5" s="293">
        <f>P5-D5</f>
        <v>2005442</v>
      </c>
      <c r="R5" s="292" t="s">
        <v>275</v>
      </c>
    </row>
    <row r="6" spans="1:18" s="291" customFormat="1" ht="25.5" hidden="1" x14ac:dyDescent="0.2">
      <c r="B6" s="292" t="s">
        <v>474</v>
      </c>
      <c r="C6" s="915">
        <v>0</v>
      </c>
      <c r="D6" s="915">
        <v>0</v>
      </c>
      <c r="E6" s="915">
        <v>0</v>
      </c>
      <c r="F6" s="915">
        <v>0</v>
      </c>
      <c r="G6" s="915">
        <v>0</v>
      </c>
      <c r="H6" s="915">
        <v>0</v>
      </c>
      <c r="I6" s="915">
        <v>0</v>
      </c>
      <c r="J6" s="915">
        <v>0</v>
      </c>
      <c r="K6" s="915">
        <v>0</v>
      </c>
      <c r="L6" s="915">
        <v>0</v>
      </c>
      <c r="M6" s="915">
        <v>0</v>
      </c>
      <c r="N6" s="915">
        <v>0</v>
      </c>
      <c r="O6" s="915" t="str">
        <f t="shared" si="0"/>
        <v>Net Proceeds from Mines</v>
      </c>
      <c r="P6" s="936">
        <f t="shared" si="1"/>
        <v>0</v>
      </c>
      <c r="Q6" s="293">
        <f>P6-D6</f>
        <v>0</v>
      </c>
      <c r="R6" s="292" t="s">
        <v>473</v>
      </c>
    </row>
    <row r="7" spans="1:18" s="37" customFormat="1" x14ac:dyDescent="0.2">
      <c r="B7" s="37" t="s">
        <v>276</v>
      </c>
      <c r="C7" s="915">
        <v>730319</v>
      </c>
      <c r="D7" s="915">
        <v>0</v>
      </c>
      <c r="E7" s="915">
        <v>0</v>
      </c>
      <c r="F7" s="915">
        <v>0</v>
      </c>
      <c r="G7" s="915">
        <v>0</v>
      </c>
      <c r="H7" s="915">
        <v>0</v>
      </c>
      <c r="I7" s="915">
        <v>0</v>
      </c>
      <c r="J7" s="915">
        <v>0</v>
      </c>
      <c r="K7" s="915">
        <v>0</v>
      </c>
      <c r="L7" s="915">
        <v>0</v>
      </c>
      <c r="M7" s="915">
        <v>0</v>
      </c>
      <c r="N7" s="915">
        <v>0</v>
      </c>
      <c r="O7" s="915" t="str">
        <f t="shared" si="0"/>
        <v>School Support Taxes</v>
      </c>
      <c r="P7" s="936">
        <f t="shared" si="1"/>
        <v>730319</v>
      </c>
      <c r="Q7" s="293">
        <f t="shared" ref="Q7:Q11" si="2">P7</f>
        <v>730319</v>
      </c>
      <c r="R7" s="519" t="s">
        <v>275</v>
      </c>
    </row>
    <row r="8" spans="1:18" s="37" customFormat="1" hidden="1" x14ac:dyDescent="0.2">
      <c r="B8" s="37" t="s">
        <v>551</v>
      </c>
      <c r="C8" s="915">
        <v>0</v>
      </c>
      <c r="D8" s="915">
        <v>0</v>
      </c>
      <c r="E8" s="915">
        <v>0</v>
      </c>
      <c r="F8" s="915">
        <v>0</v>
      </c>
      <c r="G8" s="915">
        <v>0</v>
      </c>
      <c r="H8" s="915">
        <v>0</v>
      </c>
      <c r="I8" s="915">
        <v>0</v>
      </c>
      <c r="J8" s="915">
        <v>0</v>
      </c>
      <c r="K8" s="915">
        <v>0</v>
      </c>
      <c r="L8" s="915">
        <v>0</v>
      </c>
      <c r="M8" s="915">
        <v>0</v>
      </c>
      <c r="N8" s="915">
        <v>0</v>
      </c>
      <c r="O8" s="915" t="str">
        <f t="shared" si="0"/>
        <v>Real Estate Transfer Tax</v>
      </c>
      <c r="P8" s="936">
        <f t="shared" si="1"/>
        <v>0</v>
      </c>
      <c r="Q8" s="293">
        <f t="shared" si="2"/>
        <v>0</v>
      </c>
      <c r="R8" s="519"/>
    </row>
    <row r="9" spans="1:18" s="37" customFormat="1" hidden="1" x14ac:dyDescent="0.2">
      <c r="B9" s="37" t="s">
        <v>550</v>
      </c>
      <c r="C9" s="915">
        <v>0</v>
      </c>
      <c r="D9" s="915">
        <v>0</v>
      </c>
      <c r="E9" s="915">
        <v>0</v>
      </c>
      <c r="F9" s="915">
        <v>0</v>
      </c>
      <c r="G9" s="915">
        <v>0</v>
      </c>
      <c r="H9" s="915">
        <v>0</v>
      </c>
      <c r="I9" s="915">
        <v>0</v>
      </c>
      <c r="J9" s="915">
        <v>0</v>
      </c>
      <c r="K9" s="915">
        <v>0</v>
      </c>
      <c r="L9" s="915">
        <v>0</v>
      </c>
      <c r="M9" s="915">
        <v>0</v>
      </c>
      <c r="N9" s="915">
        <v>0</v>
      </c>
      <c r="O9" s="915" t="str">
        <f t="shared" si="0"/>
        <v>Room Tax</v>
      </c>
      <c r="P9" s="936">
        <f t="shared" si="1"/>
        <v>0</v>
      </c>
      <c r="Q9" s="293">
        <f t="shared" si="2"/>
        <v>0</v>
      </c>
      <c r="R9" s="519" t="s">
        <v>275</v>
      </c>
    </row>
    <row r="10" spans="1:18" s="37" customFormat="1" x14ac:dyDescent="0.2">
      <c r="B10" s="37" t="s">
        <v>277</v>
      </c>
      <c r="C10" s="915">
        <v>10000</v>
      </c>
      <c r="D10" s="915">
        <v>0</v>
      </c>
      <c r="E10" s="915">
        <v>0</v>
      </c>
      <c r="F10" s="915">
        <v>0</v>
      </c>
      <c r="G10" s="915">
        <v>0</v>
      </c>
      <c r="H10" s="915">
        <v>0</v>
      </c>
      <c r="I10" s="915">
        <v>0</v>
      </c>
      <c r="J10" s="915">
        <v>0</v>
      </c>
      <c r="K10" s="915">
        <v>0</v>
      </c>
      <c r="L10" s="915">
        <v>0</v>
      </c>
      <c r="M10" s="915">
        <v>0</v>
      </c>
      <c r="N10" s="915">
        <v>0</v>
      </c>
      <c r="O10" s="915" t="str">
        <f t="shared" si="0"/>
        <v>Franchise Taxes</v>
      </c>
      <c r="P10" s="936">
        <f t="shared" si="1"/>
        <v>10000</v>
      </c>
      <c r="Q10" s="293">
        <f t="shared" si="2"/>
        <v>10000</v>
      </c>
      <c r="R10" s="519" t="s">
        <v>275</v>
      </c>
    </row>
    <row r="11" spans="1:18" s="37" customFormat="1" hidden="1" x14ac:dyDescent="0.2">
      <c r="B11" s="37" t="s">
        <v>680</v>
      </c>
      <c r="C11" s="915">
        <v>0</v>
      </c>
      <c r="D11" s="915">
        <v>0</v>
      </c>
      <c r="E11" s="915">
        <v>0</v>
      </c>
      <c r="F11" s="915">
        <v>0</v>
      </c>
      <c r="G11" s="915">
        <v>0</v>
      </c>
      <c r="H11" s="915">
        <v>0</v>
      </c>
      <c r="I11" s="915">
        <v>0</v>
      </c>
      <c r="J11" s="915">
        <v>0</v>
      </c>
      <c r="K11" s="915">
        <v>0</v>
      </c>
      <c r="L11" s="915">
        <v>0</v>
      </c>
      <c r="M11" s="915">
        <v>0</v>
      </c>
      <c r="N11" s="915">
        <v>0</v>
      </c>
      <c r="O11" s="915" t="str">
        <f t="shared" si="0"/>
        <v>Geothermal</v>
      </c>
      <c r="P11" s="936">
        <f t="shared" si="1"/>
        <v>0</v>
      </c>
      <c r="Q11" s="293">
        <f t="shared" si="2"/>
        <v>0</v>
      </c>
      <c r="R11" s="519" t="s">
        <v>275</v>
      </c>
    </row>
    <row r="12" spans="1:18" s="37" customFormat="1" x14ac:dyDescent="0.2">
      <c r="B12" s="37" t="s">
        <v>278</v>
      </c>
      <c r="C12" s="915">
        <v>622653</v>
      </c>
      <c r="D12" s="915">
        <v>0</v>
      </c>
      <c r="E12" s="915">
        <v>0</v>
      </c>
      <c r="F12" s="915">
        <v>0</v>
      </c>
      <c r="G12" s="915">
        <v>0</v>
      </c>
      <c r="H12" s="915">
        <v>0</v>
      </c>
      <c r="I12" s="915">
        <v>0</v>
      </c>
      <c r="J12" s="915">
        <v>0</v>
      </c>
      <c r="K12" s="915">
        <v>166041</v>
      </c>
      <c r="L12" s="915">
        <v>0</v>
      </c>
      <c r="M12" s="915">
        <v>0</v>
      </c>
      <c r="N12" s="915">
        <v>0</v>
      </c>
      <c r="O12" s="915" t="str">
        <f t="shared" si="0"/>
        <v>Governmental Services Tax</v>
      </c>
      <c r="P12" s="936">
        <f t="shared" si="1"/>
        <v>788694</v>
      </c>
      <c r="Q12" s="293">
        <f>P12-K12-D12</f>
        <v>622653</v>
      </c>
      <c r="R12" s="519" t="s">
        <v>279</v>
      </c>
    </row>
    <row r="13" spans="1:18" s="37" customFormat="1" hidden="1" x14ac:dyDescent="0.2">
      <c r="B13" s="37" t="s">
        <v>338</v>
      </c>
      <c r="C13" s="915">
        <v>0</v>
      </c>
      <c r="D13" s="915">
        <v>0</v>
      </c>
      <c r="E13" s="915">
        <v>0</v>
      </c>
      <c r="F13" s="915">
        <v>0</v>
      </c>
      <c r="G13" s="915">
        <v>0</v>
      </c>
      <c r="H13" s="915">
        <v>0</v>
      </c>
      <c r="I13" s="915">
        <v>0</v>
      </c>
      <c r="J13" s="915">
        <v>0</v>
      </c>
      <c r="K13" s="915">
        <v>0</v>
      </c>
      <c r="L13" s="915">
        <v>0</v>
      </c>
      <c r="M13" s="915">
        <v>0</v>
      </c>
      <c r="N13" s="915">
        <v>0</v>
      </c>
      <c r="O13" s="915" t="str">
        <f t="shared" si="0"/>
        <v>Other Taxes</v>
      </c>
      <c r="P13" s="936">
        <f t="shared" si="1"/>
        <v>0</v>
      </c>
      <c r="R13" s="519"/>
    </row>
    <row r="14" spans="1:18" s="37" customFormat="1" hidden="1" x14ac:dyDescent="0.2">
      <c r="B14" s="37" t="s">
        <v>281</v>
      </c>
      <c r="C14" s="915">
        <v>0</v>
      </c>
      <c r="D14" s="915">
        <v>0</v>
      </c>
      <c r="E14" s="915">
        <v>0</v>
      </c>
      <c r="F14" s="915">
        <v>0</v>
      </c>
      <c r="G14" s="915">
        <v>0</v>
      </c>
      <c r="H14" s="915">
        <v>0</v>
      </c>
      <c r="I14" s="915">
        <v>0</v>
      </c>
      <c r="J14" s="915">
        <v>0</v>
      </c>
      <c r="K14" s="915">
        <v>0</v>
      </c>
      <c r="L14" s="915">
        <v>0</v>
      </c>
      <c r="M14" s="915">
        <v>0</v>
      </c>
      <c r="N14" s="915">
        <v>0</v>
      </c>
      <c r="O14" s="915" t="str">
        <f t="shared" si="0"/>
        <v>Boat Registration</v>
      </c>
      <c r="P14" s="936">
        <f t="shared" si="1"/>
        <v>0</v>
      </c>
      <c r="R14" s="519"/>
    </row>
    <row r="15" spans="1:18" s="37" customFormat="1" hidden="1" x14ac:dyDescent="0.2">
      <c r="B15" s="37" t="s">
        <v>227</v>
      </c>
      <c r="C15" s="915">
        <v>0</v>
      </c>
      <c r="D15" s="915">
        <v>0</v>
      </c>
      <c r="E15" s="915">
        <v>0</v>
      </c>
      <c r="F15" s="915">
        <v>0</v>
      </c>
      <c r="G15" s="915">
        <v>0</v>
      </c>
      <c r="H15" s="915">
        <v>0</v>
      </c>
      <c r="I15" s="915">
        <v>0</v>
      </c>
      <c r="J15" s="915">
        <v>0</v>
      </c>
      <c r="K15" s="915">
        <v>0</v>
      </c>
      <c r="L15" s="915">
        <v>0</v>
      </c>
      <c r="M15" s="915">
        <v>0</v>
      </c>
      <c r="N15" s="915">
        <v>0</v>
      </c>
      <c r="O15" s="915" t="str">
        <f t="shared" si="0"/>
        <v>Residential Construction Tax</v>
      </c>
      <c r="P15" s="936">
        <f t="shared" si="1"/>
        <v>0</v>
      </c>
      <c r="R15" s="519"/>
    </row>
    <row r="16" spans="1:18" s="37" customFormat="1" hidden="1" x14ac:dyDescent="0.2">
      <c r="B16" s="37" t="s">
        <v>282</v>
      </c>
      <c r="C16" s="915">
        <v>0</v>
      </c>
      <c r="D16" s="915">
        <v>0</v>
      </c>
      <c r="E16" s="915">
        <v>0</v>
      </c>
      <c r="F16" s="915">
        <v>0</v>
      </c>
      <c r="G16" s="915">
        <v>0</v>
      </c>
      <c r="H16" s="915">
        <v>0</v>
      </c>
      <c r="I16" s="915">
        <v>0</v>
      </c>
      <c r="J16" s="915">
        <v>0</v>
      </c>
      <c r="K16" s="915">
        <v>0</v>
      </c>
      <c r="L16" s="915">
        <v>0</v>
      </c>
      <c r="M16" s="915">
        <v>0</v>
      </c>
      <c r="N16" s="915">
        <v>0</v>
      </c>
      <c r="O16" s="915" t="str">
        <f t="shared" si="0"/>
        <v>Tuition</v>
      </c>
      <c r="P16" s="936">
        <f t="shared" si="1"/>
        <v>0</v>
      </c>
      <c r="R16" s="519"/>
    </row>
    <row r="17" spans="1:18" s="37" customFormat="1" hidden="1" x14ac:dyDescent="0.2">
      <c r="B17" s="37" t="s">
        <v>143</v>
      </c>
      <c r="C17" s="915">
        <v>0</v>
      </c>
      <c r="D17" s="915">
        <v>0</v>
      </c>
      <c r="E17" s="915">
        <v>0</v>
      </c>
      <c r="F17" s="915">
        <v>0</v>
      </c>
      <c r="G17" s="915">
        <v>0</v>
      </c>
      <c r="H17" s="915">
        <v>0</v>
      </c>
      <c r="I17" s="915">
        <v>0</v>
      </c>
      <c r="J17" s="915">
        <v>0</v>
      </c>
      <c r="K17" s="915">
        <v>0</v>
      </c>
      <c r="L17" s="915">
        <v>0</v>
      </c>
      <c r="M17" s="915">
        <v>0</v>
      </c>
      <c r="N17" s="915">
        <v>0</v>
      </c>
      <c r="O17" s="915" t="str">
        <f t="shared" si="0"/>
        <v>Summer School</v>
      </c>
      <c r="P17" s="936">
        <f t="shared" si="1"/>
        <v>0</v>
      </c>
      <c r="R17" s="519"/>
    </row>
    <row r="18" spans="1:18" s="37" customFormat="1" hidden="1" x14ac:dyDescent="0.2">
      <c r="B18" s="37" t="s">
        <v>283</v>
      </c>
      <c r="C18" s="915">
        <v>0</v>
      </c>
      <c r="D18" s="915">
        <v>0</v>
      </c>
      <c r="E18" s="915">
        <v>0</v>
      </c>
      <c r="F18" s="915">
        <v>0</v>
      </c>
      <c r="G18" s="915">
        <v>0</v>
      </c>
      <c r="H18" s="915">
        <v>0</v>
      </c>
      <c r="I18" s="915">
        <v>0</v>
      </c>
      <c r="J18" s="915">
        <v>0</v>
      </c>
      <c r="K18" s="915">
        <v>0</v>
      </c>
      <c r="L18" s="915">
        <v>0</v>
      </c>
      <c r="M18" s="915">
        <v>0</v>
      </c>
      <c r="N18" s="915">
        <v>0</v>
      </c>
      <c r="O18" s="915" t="str">
        <f t="shared" si="0"/>
        <v>Transportation Fees</v>
      </c>
      <c r="P18" s="936">
        <f t="shared" si="1"/>
        <v>0</v>
      </c>
      <c r="R18" s="519"/>
    </row>
    <row r="19" spans="1:18" s="37" customFormat="1" x14ac:dyDescent="0.2">
      <c r="B19" s="37" t="s">
        <v>284</v>
      </c>
      <c r="C19" s="915">
        <v>20000</v>
      </c>
      <c r="D19" s="915">
        <v>10000</v>
      </c>
      <c r="E19" s="915">
        <v>0</v>
      </c>
      <c r="F19" s="915">
        <v>0</v>
      </c>
      <c r="G19" s="915">
        <v>0</v>
      </c>
      <c r="H19" s="915">
        <v>0</v>
      </c>
      <c r="I19" s="915">
        <v>0</v>
      </c>
      <c r="J19" s="915">
        <v>0</v>
      </c>
      <c r="K19" s="915">
        <v>0</v>
      </c>
      <c r="L19" s="915">
        <v>0</v>
      </c>
      <c r="M19" s="915">
        <v>100</v>
      </c>
      <c r="N19" s="915">
        <v>0</v>
      </c>
      <c r="O19" s="915" t="str">
        <f t="shared" si="0"/>
        <v>Earnings on Investments</v>
      </c>
      <c r="P19" s="936">
        <f t="shared" si="1"/>
        <v>30100</v>
      </c>
      <c r="R19" s="519"/>
    </row>
    <row r="20" spans="1:18" s="37" customFormat="1" hidden="1" x14ac:dyDescent="0.2">
      <c r="B20" s="37" t="s">
        <v>651</v>
      </c>
      <c r="C20" s="915">
        <v>0</v>
      </c>
      <c r="D20" s="915">
        <v>0</v>
      </c>
      <c r="E20" s="915">
        <v>0</v>
      </c>
      <c r="F20" s="915">
        <v>0</v>
      </c>
      <c r="G20" s="915">
        <v>0</v>
      </c>
      <c r="H20" s="915">
        <v>0</v>
      </c>
      <c r="I20" s="915">
        <v>0</v>
      </c>
      <c r="J20" s="915">
        <v>0</v>
      </c>
      <c r="K20" s="915">
        <v>0</v>
      </c>
      <c r="L20" s="915">
        <v>0</v>
      </c>
      <c r="M20" s="915">
        <v>0</v>
      </c>
      <c r="N20" s="915">
        <v>0</v>
      </c>
      <c r="O20" s="915" t="str">
        <f t="shared" si="0"/>
        <v>Interest</v>
      </c>
      <c r="P20" s="936">
        <f t="shared" si="1"/>
        <v>0</v>
      </c>
      <c r="R20" s="519"/>
    </row>
    <row r="21" spans="1:18" s="37" customFormat="1" hidden="1" x14ac:dyDescent="0.2">
      <c r="B21" s="37" t="s">
        <v>652</v>
      </c>
      <c r="C21" s="915">
        <v>0</v>
      </c>
      <c r="D21" s="915">
        <v>0</v>
      </c>
      <c r="E21" s="915">
        <v>0</v>
      </c>
      <c r="F21" s="915">
        <v>0</v>
      </c>
      <c r="G21" s="915">
        <v>0</v>
      </c>
      <c r="H21" s="915">
        <v>0</v>
      </c>
      <c r="I21" s="915">
        <v>0</v>
      </c>
      <c r="J21" s="915">
        <v>0</v>
      </c>
      <c r="K21" s="915">
        <v>0</v>
      </c>
      <c r="L21" s="915">
        <v>0</v>
      </c>
      <c r="M21" s="915">
        <v>0</v>
      </c>
      <c r="N21" s="915">
        <v>0</v>
      </c>
      <c r="O21" s="915" t="str">
        <f t="shared" si="0"/>
        <v>Dividends</v>
      </c>
      <c r="P21" s="936">
        <f t="shared" si="1"/>
        <v>0</v>
      </c>
      <c r="R21" s="519"/>
    </row>
    <row r="22" spans="1:18" s="37" customFormat="1" hidden="1" x14ac:dyDescent="0.2">
      <c r="B22" s="37" t="s">
        <v>653</v>
      </c>
      <c r="C22" s="915">
        <v>0</v>
      </c>
      <c r="D22" s="915">
        <v>0</v>
      </c>
      <c r="E22" s="915">
        <v>0</v>
      </c>
      <c r="F22" s="915">
        <v>0</v>
      </c>
      <c r="G22" s="915">
        <v>0</v>
      </c>
      <c r="H22" s="915">
        <v>0</v>
      </c>
      <c r="I22" s="915">
        <v>0</v>
      </c>
      <c r="J22" s="915">
        <v>0</v>
      </c>
      <c r="K22" s="915">
        <v>0</v>
      </c>
      <c r="L22" s="915">
        <v>0</v>
      </c>
      <c r="M22" s="915">
        <v>0</v>
      </c>
      <c r="N22" s="915">
        <v>0</v>
      </c>
      <c r="O22" s="915" t="str">
        <f t="shared" si="0"/>
        <v>Unrealized Gain/Losses</v>
      </c>
      <c r="P22" s="936">
        <f t="shared" si="1"/>
        <v>0</v>
      </c>
      <c r="R22" s="519"/>
    </row>
    <row r="23" spans="1:18" s="37" customFormat="1" hidden="1" x14ac:dyDescent="0.2">
      <c r="B23" s="37" t="s">
        <v>654</v>
      </c>
      <c r="C23" s="915">
        <v>0</v>
      </c>
      <c r="D23" s="915">
        <v>0</v>
      </c>
      <c r="E23" s="915">
        <v>0</v>
      </c>
      <c r="F23" s="915">
        <v>0</v>
      </c>
      <c r="G23" s="915">
        <v>0</v>
      </c>
      <c r="H23" s="915">
        <v>0</v>
      </c>
      <c r="I23" s="915">
        <v>0</v>
      </c>
      <c r="J23" s="915">
        <v>0</v>
      </c>
      <c r="K23" s="915">
        <v>0</v>
      </c>
      <c r="L23" s="915">
        <v>0</v>
      </c>
      <c r="M23" s="915">
        <v>0</v>
      </c>
      <c r="N23" s="915">
        <v>0</v>
      </c>
      <c r="O23" s="915" t="str">
        <f t="shared" si="0"/>
        <v>After School Program Fees</v>
      </c>
      <c r="P23" s="936">
        <f t="shared" si="1"/>
        <v>0</v>
      </c>
      <c r="R23" s="519"/>
    </row>
    <row r="24" spans="1:18" s="37" customFormat="1" hidden="1" x14ac:dyDescent="0.2">
      <c r="B24" s="37" t="s">
        <v>552</v>
      </c>
      <c r="C24" s="915">
        <v>0</v>
      </c>
      <c r="D24" s="915">
        <v>0</v>
      </c>
      <c r="E24" s="915">
        <v>0</v>
      </c>
      <c r="F24" s="915">
        <v>0</v>
      </c>
      <c r="G24" s="915">
        <v>0</v>
      </c>
      <c r="H24" s="915">
        <v>0</v>
      </c>
      <c r="I24" s="915">
        <v>0</v>
      </c>
      <c r="J24" s="915">
        <v>0</v>
      </c>
      <c r="K24" s="915">
        <v>0</v>
      </c>
      <c r="L24" s="915">
        <v>0</v>
      </c>
      <c r="M24" s="915">
        <v>0</v>
      </c>
      <c r="N24" s="915">
        <v>0</v>
      </c>
      <c r="O24" s="915" t="str">
        <f t="shared" si="0"/>
        <v>Direct District Activities Revenue</v>
      </c>
      <c r="P24" s="936">
        <f t="shared" si="1"/>
        <v>0</v>
      </c>
      <c r="R24" s="519"/>
    </row>
    <row r="25" spans="1:18" s="37" customFormat="1" x14ac:dyDescent="0.2">
      <c r="B25" s="37" t="s">
        <v>286</v>
      </c>
      <c r="C25" s="915">
        <v>0</v>
      </c>
      <c r="D25" s="915">
        <v>0</v>
      </c>
      <c r="E25" s="915">
        <v>0</v>
      </c>
      <c r="F25" s="915">
        <v>0</v>
      </c>
      <c r="G25" s="915">
        <v>0</v>
      </c>
      <c r="H25" s="915">
        <v>0</v>
      </c>
      <c r="I25" s="915">
        <v>0</v>
      </c>
      <c r="J25" s="915">
        <v>62300</v>
      </c>
      <c r="K25" s="915">
        <v>0</v>
      </c>
      <c r="L25" s="915">
        <v>0</v>
      </c>
      <c r="M25" s="915">
        <v>0</v>
      </c>
      <c r="N25" s="915">
        <v>0</v>
      </c>
      <c r="O25" s="915" t="str">
        <f t="shared" si="0"/>
        <v>Daily Sales - Food Services</v>
      </c>
      <c r="P25" s="936">
        <f t="shared" si="1"/>
        <v>62300</v>
      </c>
      <c r="R25" s="519"/>
    </row>
    <row r="26" spans="1:18" s="37" customFormat="1" hidden="1" x14ac:dyDescent="0.2">
      <c r="A26" s="37">
        <v>1900</v>
      </c>
      <c r="B26" s="37" t="s">
        <v>280</v>
      </c>
      <c r="C26" s="915">
        <v>0</v>
      </c>
      <c r="D26" s="915">
        <v>0</v>
      </c>
      <c r="E26" s="915">
        <v>0</v>
      </c>
      <c r="F26" s="915">
        <v>0</v>
      </c>
      <c r="G26" s="915">
        <v>0</v>
      </c>
      <c r="H26" s="915">
        <v>0</v>
      </c>
      <c r="I26" s="915">
        <v>0</v>
      </c>
      <c r="J26" s="915">
        <v>0</v>
      </c>
      <c r="K26" s="915">
        <v>0</v>
      </c>
      <c r="L26" s="915">
        <v>0</v>
      </c>
      <c r="M26" s="915">
        <v>0</v>
      </c>
      <c r="N26" s="915">
        <v>0</v>
      </c>
      <c r="O26" s="915" t="str">
        <f t="shared" si="0"/>
        <v>Other Revenues</v>
      </c>
      <c r="P26" s="936">
        <f t="shared" si="1"/>
        <v>0</v>
      </c>
      <c r="R26" s="519"/>
    </row>
    <row r="27" spans="1:18" s="37" customFormat="1" hidden="1" x14ac:dyDescent="0.2">
      <c r="B27" s="37" t="s">
        <v>288</v>
      </c>
      <c r="C27" s="915">
        <v>0</v>
      </c>
      <c r="D27" s="915">
        <v>0</v>
      </c>
      <c r="E27" s="915">
        <v>0</v>
      </c>
      <c r="F27" s="915">
        <v>0</v>
      </c>
      <c r="G27" s="915">
        <v>0</v>
      </c>
      <c r="H27" s="915">
        <v>0</v>
      </c>
      <c r="I27" s="915">
        <v>0</v>
      </c>
      <c r="J27" s="915">
        <v>0</v>
      </c>
      <c r="K27" s="915">
        <v>0</v>
      </c>
      <c r="L27" s="915">
        <v>0</v>
      </c>
      <c r="M27" s="915">
        <v>0</v>
      </c>
      <c r="N27" s="915">
        <v>0</v>
      </c>
      <c r="O27" s="915" t="str">
        <f t="shared" si="0"/>
        <v>Donations</v>
      </c>
      <c r="P27" s="936">
        <f t="shared" si="1"/>
        <v>0</v>
      </c>
      <c r="R27" s="519"/>
    </row>
    <row r="28" spans="1:18" s="37" customFormat="1" hidden="1" x14ac:dyDescent="0.2">
      <c r="B28" s="37" t="s">
        <v>287</v>
      </c>
      <c r="C28" s="915">
        <v>0</v>
      </c>
      <c r="D28" s="915">
        <v>0</v>
      </c>
      <c r="E28" s="915">
        <v>0</v>
      </c>
      <c r="F28" s="915">
        <v>0</v>
      </c>
      <c r="G28" s="915">
        <v>0</v>
      </c>
      <c r="H28" s="915">
        <v>0</v>
      </c>
      <c r="I28" s="915">
        <v>0</v>
      </c>
      <c r="J28" s="915">
        <v>0</v>
      </c>
      <c r="K28" s="915">
        <v>0</v>
      </c>
      <c r="L28" s="915">
        <v>0</v>
      </c>
      <c r="M28" s="915">
        <v>0</v>
      </c>
      <c r="N28" s="915">
        <v>0</v>
      </c>
      <c r="O28" s="915" t="str">
        <f t="shared" si="0"/>
        <v>Rentals</v>
      </c>
      <c r="P28" s="936">
        <f t="shared" si="1"/>
        <v>0</v>
      </c>
      <c r="R28" s="519"/>
    </row>
    <row r="29" spans="1:18" s="37" customFormat="1" hidden="1" x14ac:dyDescent="0.2">
      <c r="B29" s="37" t="s">
        <v>598</v>
      </c>
      <c r="C29" s="915">
        <v>0</v>
      </c>
      <c r="D29" s="915">
        <v>0</v>
      </c>
      <c r="E29" s="915">
        <v>0</v>
      </c>
      <c r="F29" s="915">
        <v>0</v>
      </c>
      <c r="G29" s="915">
        <v>0</v>
      </c>
      <c r="H29" s="915">
        <v>0</v>
      </c>
      <c r="I29" s="915">
        <v>0</v>
      </c>
      <c r="J29" s="915">
        <v>0</v>
      </c>
      <c r="K29" s="915">
        <v>0</v>
      </c>
      <c r="L29" s="915">
        <v>0</v>
      </c>
      <c r="M29" s="915">
        <v>0</v>
      </c>
      <c r="N29" s="915">
        <v>0</v>
      </c>
      <c r="O29" s="915" t="str">
        <f t="shared" si="0"/>
        <v>Services Provided Other Govts</v>
      </c>
      <c r="P29" s="936">
        <f t="shared" si="1"/>
        <v>0</v>
      </c>
      <c r="R29" s="519"/>
    </row>
    <row r="30" spans="1:18" s="37" customFormat="1" hidden="1" x14ac:dyDescent="0.2">
      <c r="B30" s="37" t="s">
        <v>289</v>
      </c>
      <c r="C30" s="915">
        <v>0</v>
      </c>
      <c r="D30" s="915">
        <v>0</v>
      </c>
      <c r="E30" s="915">
        <v>0</v>
      </c>
      <c r="F30" s="915">
        <v>0</v>
      </c>
      <c r="G30" s="915">
        <v>0</v>
      </c>
      <c r="H30" s="915">
        <v>0</v>
      </c>
      <c r="I30" s="915">
        <v>0</v>
      </c>
      <c r="J30" s="915">
        <v>0</v>
      </c>
      <c r="K30" s="915">
        <v>0</v>
      </c>
      <c r="L30" s="915">
        <v>0</v>
      </c>
      <c r="M30" s="915">
        <v>0</v>
      </c>
      <c r="N30" s="915">
        <v>0</v>
      </c>
      <c r="O30" s="915" t="str">
        <f t="shared" si="0"/>
        <v>Miscellaneous</v>
      </c>
      <c r="P30" s="936">
        <f t="shared" si="1"/>
        <v>0</v>
      </c>
      <c r="R30" s="519"/>
    </row>
    <row r="31" spans="1:18" s="37" customFormat="1" hidden="1" x14ac:dyDescent="0.2">
      <c r="B31" s="37" t="s">
        <v>681</v>
      </c>
      <c r="C31" s="915">
        <v>0</v>
      </c>
      <c r="D31" s="915">
        <v>0</v>
      </c>
      <c r="E31" s="915">
        <v>0</v>
      </c>
      <c r="F31" s="915">
        <v>0</v>
      </c>
      <c r="G31" s="915">
        <v>0</v>
      </c>
      <c r="H31" s="915">
        <v>0</v>
      </c>
      <c r="I31" s="915">
        <v>0</v>
      </c>
      <c r="J31" s="915">
        <v>0</v>
      </c>
      <c r="K31" s="915">
        <v>0</v>
      </c>
      <c r="L31" s="915">
        <v>0</v>
      </c>
      <c r="M31" s="915">
        <v>0</v>
      </c>
      <c r="N31" s="915">
        <v>0</v>
      </c>
      <c r="O31" s="915" t="str">
        <f t="shared" si="0"/>
        <v>Local Safety Grant</v>
      </c>
      <c r="P31" s="936">
        <f t="shared" si="1"/>
        <v>0</v>
      </c>
      <c r="R31" s="519"/>
    </row>
    <row r="32" spans="1:18" s="37" customFormat="1" hidden="1" x14ac:dyDescent="0.2">
      <c r="B32" s="37" t="s">
        <v>656</v>
      </c>
      <c r="C32" s="915">
        <v>0</v>
      </c>
      <c r="D32" s="915">
        <v>0</v>
      </c>
      <c r="E32" s="915">
        <v>0</v>
      </c>
      <c r="F32" s="915">
        <v>0</v>
      </c>
      <c r="G32" s="915">
        <v>0</v>
      </c>
      <c r="H32" s="915">
        <v>0</v>
      </c>
      <c r="I32" s="915">
        <v>0</v>
      </c>
      <c r="J32" s="915">
        <v>0</v>
      </c>
      <c r="K32" s="915">
        <v>0</v>
      </c>
      <c r="L32" s="915">
        <v>0</v>
      </c>
      <c r="M32" s="915">
        <v>0</v>
      </c>
      <c r="N32" s="915">
        <v>0</v>
      </c>
      <c r="O32" s="915" t="str">
        <f t="shared" si="0"/>
        <v>Use of Buildings</v>
      </c>
      <c r="P32" s="936">
        <f t="shared" si="1"/>
        <v>0</v>
      </c>
      <c r="R32" s="519"/>
    </row>
    <row r="33" spans="2:18" s="37" customFormat="1" hidden="1" x14ac:dyDescent="0.2">
      <c r="B33" s="37" t="s">
        <v>290</v>
      </c>
      <c r="C33" s="915">
        <v>0</v>
      </c>
      <c r="D33" s="915">
        <v>0</v>
      </c>
      <c r="E33" s="915">
        <v>0</v>
      </c>
      <c r="F33" s="915">
        <v>0</v>
      </c>
      <c r="G33" s="915">
        <v>0</v>
      </c>
      <c r="H33" s="915">
        <v>0</v>
      </c>
      <c r="I33" s="915">
        <v>0</v>
      </c>
      <c r="J33" s="915">
        <v>0</v>
      </c>
      <c r="K33" s="915">
        <v>0</v>
      </c>
      <c r="L33" s="915">
        <v>0</v>
      </c>
      <c r="M33" s="915">
        <v>0</v>
      </c>
      <c r="N33" s="915">
        <v>0</v>
      </c>
      <c r="O33" s="915" t="str">
        <f t="shared" si="0"/>
        <v>Indirect Costs</v>
      </c>
      <c r="P33" s="936">
        <f t="shared" si="1"/>
        <v>0</v>
      </c>
      <c r="R33" s="519"/>
    </row>
    <row r="34" spans="2:18" hidden="1" x14ac:dyDescent="0.2">
      <c r="B34" s="3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08"/>
      <c r="P34" s="908"/>
      <c r="R34" s="519"/>
    </row>
    <row r="35" spans="2:18" s="2" customFormat="1" x14ac:dyDescent="0.2">
      <c r="B35" s="39" t="s">
        <v>124</v>
      </c>
      <c r="C35" s="931">
        <f>SUM(C4:C34)</f>
        <v>3388414</v>
      </c>
      <c r="D35" s="931">
        <f t="shared" ref="D35:N35" si="3">SUM(D4:D34)</f>
        <v>1107237</v>
      </c>
      <c r="E35" s="931">
        <f t="shared" si="3"/>
        <v>0</v>
      </c>
      <c r="F35" s="931">
        <f t="shared" si="3"/>
        <v>0</v>
      </c>
      <c r="G35" s="931">
        <f t="shared" si="3"/>
        <v>0</v>
      </c>
      <c r="H35" s="931">
        <f t="shared" si="3"/>
        <v>0</v>
      </c>
      <c r="I35" s="931">
        <f t="shared" si="3"/>
        <v>0</v>
      </c>
      <c r="J35" s="931">
        <f t="shared" si="3"/>
        <v>62300</v>
      </c>
      <c r="K35" s="931">
        <f t="shared" si="3"/>
        <v>166041</v>
      </c>
      <c r="L35" s="931">
        <f t="shared" si="3"/>
        <v>0</v>
      </c>
      <c r="M35" s="931">
        <f t="shared" si="3"/>
        <v>100</v>
      </c>
      <c r="N35" s="931">
        <f t="shared" si="3"/>
        <v>0</v>
      </c>
      <c r="O35" s="930">
        <f>SUM(C35:N35)</f>
        <v>4724092</v>
      </c>
      <c r="P35" s="903"/>
      <c r="Q35" s="20">
        <f>SUM(Q5:Q34)</f>
        <v>3368414</v>
      </c>
      <c r="R35" s="520"/>
    </row>
    <row r="36" spans="2:18" x14ac:dyDescent="0.2">
      <c r="B36" s="16"/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22"/>
      <c r="P36" s="908"/>
      <c r="R36" s="53"/>
    </row>
    <row r="37" spans="2:18" x14ac:dyDescent="0.2">
      <c r="B37" s="37" t="s">
        <v>291</v>
      </c>
      <c r="C37" s="913">
        <v>4910096</v>
      </c>
      <c r="D37" s="913">
        <v>0</v>
      </c>
      <c r="E37" s="913">
        <v>0</v>
      </c>
      <c r="F37" s="913">
        <v>0</v>
      </c>
      <c r="G37" s="913">
        <v>0</v>
      </c>
      <c r="H37" s="913">
        <v>783595</v>
      </c>
      <c r="I37" s="913">
        <v>0</v>
      </c>
      <c r="J37" s="913">
        <v>0</v>
      </c>
      <c r="K37" s="913">
        <v>0</v>
      </c>
      <c r="L37" s="913">
        <v>0</v>
      </c>
      <c r="M37" s="913">
        <v>0</v>
      </c>
      <c r="N37" s="913">
        <v>0</v>
      </c>
      <c r="O37" s="919" t="str">
        <f t="shared" ref="O37:O46" si="4">B37</f>
        <v>Distributive School Fund (DSA)</v>
      </c>
      <c r="P37" s="919">
        <f t="shared" ref="P37:P46" si="5">SUM(C37:N37)</f>
        <v>5693691</v>
      </c>
    </row>
    <row r="38" spans="2:18" hidden="1" x14ac:dyDescent="0.2">
      <c r="B38" s="37" t="s">
        <v>292</v>
      </c>
      <c r="C38" s="913">
        <v>0</v>
      </c>
      <c r="D38" s="913">
        <v>0</v>
      </c>
      <c r="E38" s="913">
        <v>0</v>
      </c>
      <c r="F38" s="913">
        <v>0</v>
      </c>
      <c r="G38" s="913">
        <v>0</v>
      </c>
      <c r="H38" s="913">
        <v>0</v>
      </c>
      <c r="I38" s="913">
        <v>0</v>
      </c>
      <c r="J38" s="913">
        <v>0</v>
      </c>
      <c r="K38" s="913">
        <v>0</v>
      </c>
      <c r="L38" s="913">
        <v>0</v>
      </c>
      <c r="M38" s="913">
        <v>0</v>
      </c>
      <c r="N38" s="913">
        <v>0</v>
      </c>
      <c r="O38" s="919" t="str">
        <f t="shared" si="4"/>
        <v>DSA Charter Reduction-Outside Revs</v>
      </c>
      <c r="P38" s="919">
        <f t="shared" si="5"/>
        <v>0</v>
      </c>
    </row>
    <row r="39" spans="2:18" x14ac:dyDescent="0.2">
      <c r="B39" s="37" t="s">
        <v>293</v>
      </c>
      <c r="C39" s="913">
        <v>0</v>
      </c>
      <c r="D39" s="913">
        <v>0</v>
      </c>
      <c r="E39" s="913">
        <v>0</v>
      </c>
      <c r="F39" s="913">
        <v>0</v>
      </c>
      <c r="G39" s="913">
        <v>37937</v>
      </c>
      <c r="H39" s="913">
        <v>0</v>
      </c>
      <c r="I39" s="913">
        <v>0</v>
      </c>
      <c r="J39" s="913">
        <v>0</v>
      </c>
      <c r="K39" s="913">
        <v>0</v>
      </c>
      <c r="L39" s="913">
        <v>0</v>
      </c>
      <c r="M39" s="913">
        <v>0</v>
      </c>
      <c r="N39" s="913">
        <v>0</v>
      </c>
      <c r="O39" s="919" t="str">
        <f t="shared" si="4"/>
        <v>Special Education - DSA Funding</v>
      </c>
      <c r="P39" s="919">
        <f t="shared" si="5"/>
        <v>37937</v>
      </c>
    </row>
    <row r="40" spans="2:18" hidden="1" x14ac:dyDescent="0.2">
      <c r="B40" s="37" t="s">
        <v>475</v>
      </c>
      <c r="C40" s="913">
        <v>0</v>
      </c>
      <c r="D40" s="913">
        <v>0</v>
      </c>
      <c r="E40" s="913">
        <v>0</v>
      </c>
      <c r="F40" s="913">
        <v>0</v>
      </c>
      <c r="G40" s="913">
        <v>0</v>
      </c>
      <c r="H40" s="913">
        <v>0</v>
      </c>
      <c r="I40" s="913">
        <v>0</v>
      </c>
      <c r="J40" s="913">
        <v>0</v>
      </c>
      <c r="K40" s="913">
        <v>0</v>
      </c>
      <c r="L40" s="913">
        <v>0</v>
      </c>
      <c r="M40" s="913">
        <v>0</v>
      </c>
      <c r="N40" s="913">
        <v>0</v>
      </c>
      <c r="O40" s="919" t="str">
        <f t="shared" si="4"/>
        <v>Counseling - DSA Funding</v>
      </c>
      <c r="P40" s="919">
        <f t="shared" si="5"/>
        <v>0</v>
      </c>
    </row>
    <row r="41" spans="2:18" hidden="1" x14ac:dyDescent="0.2">
      <c r="B41" s="37" t="s">
        <v>294</v>
      </c>
      <c r="C41" s="913">
        <v>0</v>
      </c>
      <c r="D41" s="913">
        <v>0</v>
      </c>
      <c r="E41" s="913">
        <v>0</v>
      </c>
      <c r="F41" s="913">
        <v>0</v>
      </c>
      <c r="G41" s="913">
        <v>0</v>
      </c>
      <c r="H41" s="913">
        <v>0</v>
      </c>
      <c r="I41" s="913">
        <v>0</v>
      </c>
      <c r="J41" s="913">
        <v>0</v>
      </c>
      <c r="K41" s="913">
        <v>0</v>
      </c>
      <c r="L41" s="913">
        <v>0</v>
      </c>
      <c r="M41" s="913">
        <v>0</v>
      </c>
      <c r="N41" s="913">
        <v>0</v>
      </c>
      <c r="O41" s="919" t="str">
        <f t="shared" si="4"/>
        <v>State Food Aid</v>
      </c>
      <c r="P41" s="919">
        <f t="shared" si="5"/>
        <v>0</v>
      </c>
    </row>
    <row r="42" spans="2:18" x14ac:dyDescent="0.2">
      <c r="B42" s="37" t="s">
        <v>295</v>
      </c>
      <c r="C42" s="913">
        <v>0</v>
      </c>
      <c r="D42" s="913">
        <v>0</v>
      </c>
      <c r="E42" s="913">
        <v>0</v>
      </c>
      <c r="F42" s="913">
        <v>0</v>
      </c>
      <c r="G42" s="913">
        <v>894830</v>
      </c>
      <c r="H42" s="913">
        <v>0</v>
      </c>
      <c r="I42" s="913">
        <v>0</v>
      </c>
      <c r="J42" s="913">
        <v>0</v>
      </c>
      <c r="K42" s="913">
        <v>0</v>
      </c>
      <c r="L42" s="913">
        <v>0</v>
      </c>
      <c r="M42" s="913">
        <v>0</v>
      </c>
      <c r="N42" s="913">
        <v>0</v>
      </c>
      <c r="O42" s="919" t="str">
        <f t="shared" si="4"/>
        <v>Restricted Funding/Grants-in-aid rev</v>
      </c>
      <c r="P42" s="919">
        <f t="shared" si="5"/>
        <v>894830</v>
      </c>
    </row>
    <row r="43" spans="2:18" x14ac:dyDescent="0.2">
      <c r="B43" s="37" t="s">
        <v>682</v>
      </c>
      <c r="C43" s="913">
        <v>0</v>
      </c>
      <c r="D43" s="913">
        <v>0</v>
      </c>
      <c r="E43" s="913">
        <v>0</v>
      </c>
      <c r="F43" s="913">
        <v>1169293</v>
      </c>
      <c r="G43" s="913">
        <v>0</v>
      </c>
      <c r="H43" s="913">
        <v>0</v>
      </c>
      <c r="I43" s="913">
        <v>0</v>
      </c>
      <c r="J43" s="913">
        <v>0</v>
      </c>
      <c r="K43" s="913">
        <v>0</v>
      </c>
      <c r="L43" s="913">
        <v>0</v>
      </c>
      <c r="M43" s="913">
        <v>0</v>
      </c>
      <c r="N43" s="913">
        <v>0</v>
      </c>
      <c r="O43" s="919" t="str">
        <f t="shared" si="4"/>
        <v xml:space="preserve">Adult High School Diploma </v>
      </c>
      <c r="P43" s="919">
        <f t="shared" si="5"/>
        <v>1169293</v>
      </c>
    </row>
    <row r="44" spans="2:18" hidden="1" x14ac:dyDescent="0.2">
      <c r="B44" s="37" t="s">
        <v>553</v>
      </c>
      <c r="C44" s="913">
        <v>0</v>
      </c>
      <c r="D44" s="913">
        <v>0</v>
      </c>
      <c r="E44" s="913">
        <v>0</v>
      </c>
      <c r="F44" s="913">
        <v>0</v>
      </c>
      <c r="G44" s="913">
        <v>0</v>
      </c>
      <c r="H44" s="913">
        <v>0</v>
      </c>
      <c r="I44" s="913">
        <v>0</v>
      </c>
      <c r="J44" s="913">
        <v>0</v>
      </c>
      <c r="K44" s="913">
        <v>0</v>
      </c>
      <c r="L44" s="913">
        <v>0</v>
      </c>
      <c r="M44" s="913">
        <v>0</v>
      </c>
      <c r="N44" s="913">
        <v>0</v>
      </c>
      <c r="O44" s="919" t="str">
        <f t="shared" si="4"/>
        <v>SB 178 NV Education Fund Plan</v>
      </c>
      <c r="P44" s="919">
        <f t="shared" si="5"/>
        <v>0</v>
      </c>
    </row>
    <row r="45" spans="2:18" x14ac:dyDescent="0.2">
      <c r="B45" s="37" t="s">
        <v>191</v>
      </c>
      <c r="C45" s="913">
        <v>0</v>
      </c>
      <c r="D45" s="913">
        <v>0</v>
      </c>
      <c r="E45" s="913">
        <v>242381</v>
      </c>
      <c r="F45" s="913">
        <v>0</v>
      </c>
      <c r="G45" s="913">
        <v>0</v>
      </c>
      <c r="H45" s="913">
        <v>0</v>
      </c>
      <c r="I45" s="913">
        <v>0</v>
      </c>
      <c r="J45" s="913">
        <v>0</v>
      </c>
      <c r="K45" s="913">
        <v>0</v>
      </c>
      <c r="L45" s="913">
        <v>0</v>
      </c>
      <c r="M45" s="913">
        <v>0</v>
      </c>
      <c r="N45" s="913">
        <v>0</v>
      </c>
      <c r="O45" s="919" t="str">
        <f t="shared" si="4"/>
        <v>Class Size Reduction</v>
      </c>
      <c r="P45" s="919">
        <f t="shared" si="5"/>
        <v>242381</v>
      </c>
    </row>
    <row r="46" spans="2:18" hidden="1" x14ac:dyDescent="0.2">
      <c r="B46" s="37" t="s">
        <v>386</v>
      </c>
      <c r="C46" s="913">
        <v>0</v>
      </c>
      <c r="D46" s="913">
        <v>0</v>
      </c>
      <c r="E46" s="913">
        <v>0</v>
      </c>
      <c r="F46" s="913">
        <v>0</v>
      </c>
      <c r="G46" s="913">
        <v>0</v>
      </c>
      <c r="H46" s="913">
        <v>0</v>
      </c>
      <c r="I46" s="913">
        <v>0</v>
      </c>
      <c r="J46" s="913">
        <v>0</v>
      </c>
      <c r="K46" s="913">
        <v>0</v>
      </c>
      <c r="L46" s="913">
        <v>0</v>
      </c>
      <c r="M46" s="913">
        <v>0</v>
      </c>
      <c r="N46" s="913">
        <v>0</v>
      </c>
      <c r="O46" s="919" t="str">
        <f t="shared" si="4"/>
        <v>For/on behalf of School District</v>
      </c>
      <c r="P46" s="919">
        <f t="shared" si="5"/>
        <v>0</v>
      </c>
    </row>
    <row r="47" spans="2:18" hidden="1" x14ac:dyDescent="0.2">
      <c r="C47" s="916"/>
      <c r="D47" s="916"/>
      <c r="E47" s="916"/>
      <c r="F47" s="916"/>
      <c r="G47" s="916"/>
      <c r="H47" s="916"/>
      <c r="I47" s="916"/>
      <c r="J47" s="916"/>
      <c r="K47" s="916"/>
      <c r="L47" s="916"/>
      <c r="M47" s="916"/>
      <c r="N47" s="916"/>
      <c r="O47" s="922"/>
      <c r="P47" s="908"/>
    </row>
    <row r="48" spans="2:18" s="2" customFormat="1" x14ac:dyDescent="0.2">
      <c r="B48" s="39" t="s">
        <v>125</v>
      </c>
      <c r="C48" s="931">
        <f>SUM(C36:C47)</f>
        <v>4910096</v>
      </c>
      <c r="D48" s="931">
        <f t="shared" ref="D48:N48" si="6">SUM(D36:D47)</f>
        <v>0</v>
      </c>
      <c r="E48" s="931">
        <f t="shared" si="6"/>
        <v>242381</v>
      </c>
      <c r="F48" s="931">
        <f t="shared" si="6"/>
        <v>1169293</v>
      </c>
      <c r="G48" s="931">
        <f t="shared" si="6"/>
        <v>932767</v>
      </c>
      <c r="H48" s="931">
        <f t="shared" si="6"/>
        <v>783595</v>
      </c>
      <c r="I48" s="931">
        <f t="shared" si="6"/>
        <v>0</v>
      </c>
      <c r="J48" s="931">
        <f t="shared" si="6"/>
        <v>0</v>
      </c>
      <c r="K48" s="931">
        <f t="shared" si="6"/>
        <v>0</v>
      </c>
      <c r="L48" s="931">
        <f t="shared" si="6"/>
        <v>0</v>
      </c>
      <c r="M48" s="931">
        <f t="shared" si="6"/>
        <v>0</v>
      </c>
      <c r="N48" s="931">
        <f t="shared" si="6"/>
        <v>0</v>
      </c>
      <c r="O48" s="930">
        <f>SUM(C48:N48)</f>
        <v>8038132</v>
      </c>
      <c r="P48" s="903"/>
      <c r="R48" s="520"/>
    </row>
    <row r="49" spans="1:18" x14ac:dyDescent="0.2">
      <c r="B49" s="16"/>
      <c r="C49" s="916"/>
      <c r="D49" s="916"/>
      <c r="E49" s="916"/>
      <c r="F49" s="916"/>
      <c r="G49" s="916"/>
      <c r="H49" s="916"/>
      <c r="I49" s="916"/>
      <c r="J49" s="916"/>
      <c r="K49" s="916"/>
      <c r="L49" s="916"/>
      <c r="M49" s="916"/>
      <c r="N49" s="916"/>
      <c r="O49" s="908"/>
      <c r="P49" s="908"/>
      <c r="R49" s="53"/>
    </row>
    <row r="50" spans="1:18" s="37" customFormat="1" x14ac:dyDescent="0.2">
      <c r="A50" s="45"/>
      <c r="B50" s="37" t="s">
        <v>658</v>
      </c>
      <c r="C50" s="920">
        <v>0</v>
      </c>
      <c r="D50" s="920">
        <v>0</v>
      </c>
      <c r="E50" s="920">
        <v>0</v>
      </c>
      <c r="F50" s="920">
        <v>0</v>
      </c>
      <c r="G50" s="920">
        <v>0</v>
      </c>
      <c r="H50" s="920">
        <v>0</v>
      </c>
      <c r="I50" s="920">
        <v>0</v>
      </c>
      <c r="J50" s="920">
        <v>225000</v>
      </c>
      <c r="K50" s="920">
        <v>0</v>
      </c>
      <c r="L50" s="920">
        <v>0</v>
      </c>
      <c r="M50" s="920">
        <v>0</v>
      </c>
      <c r="N50" s="920">
        <v>0</v>
      </c>
      <c r="O50" s="921" t="str">
        <f t="shared" ref="O50:O60" si="7">B50</f>
        <v>Federal Lunch Reimbursement</v>
      </c>
      <c r="P50" s="921">
        <f t="shared" ref="P50:P60" si="8">SUM(C50:N50)</f>
        <v>225000</v>
      </c>
      <c r="R50" s="520"/>
    </row>
    <row r="51" spans="1:18" s="37" customFormat="1" hidden="1" x14ac:dyDescent="0.2">
      <c r="A51" s="45"/>
      <c r="B51" s="37" t="s">
        <v>659</v>
      </c>
      <c r="C51" s="920">
        <v>0</v>
      </c>
      <c r="D51" s="920">
        <v>0</v>
      </c>
      <c r="E51" s="920">
        <v>0</v>
      </c>
      <c r="F51" s="920">
        <v>0</v>
      </c>
      <c r="G51" s="920">
        <v>0</v>
      </c>
      <c r="H51" s="920">
        <v>0</v>
      </c>
      <c r="I51" s="920">
        <v>0</v>
      </c>
      <c r="J51" s="920">
        <v>0</v>
      </c>
      <c r="K51" s="920">
        <v>0</v>
      </c>
      <c r="L51" s="920">
        <v>0</v>
      </c>
      <c r="M51" s="920">
        <v>0</v>
      </c>
      <c r="N51" s="920">
        <v>0</v>
      </c>
      <c r="O51" s="921" t="str">
        <f t="shared" si="7"/>
        <v>Forest Reserve</v>
      </c>
      <c r="P51" s="921">
        <f t="shared" si="8"/>
        <v>0</v>
      </c>
      <c r="R51" s="519"/>
    </row>
    <row r="52" spans="1:18" s="37" customFormat="1" hidden="1" x14ac:dyDescent="0.2">
      <c r="A52" s="45"/>
      <c r="B52" s="37" t="s">
        <v>660</v>
      </c>
      <c r="C52" s="920">
        <v>0</v>
      </c>
      <c r="D52" s="920">
        <v>0</v>
      </c>
      <c r="E52" s="920">
        <v>0</v>
      </c>
      <c r="F52" s="920">
        <v>0</v>
      </c>
      <c r="G52" s="920">
        <v>0</v>
      </c>
      <c r="H52" s="920">
        <v>0</v>
      </c>
      <c r="I52" s="920">
        <v>0</v>
      </c>
      <c r="J52" s="920">
        <v>0</v>
      </c>
      <c r="K52" s="920">
        <v>0</v>
      </c>
      <c r="L52" s="920">
        <v>0</v>
      </c>
      <c r="M52" s="920">
        <v>0</v>
      </c>
      <c r="N52" s="920">
        <v>0</v>
      </c>
      <c r="O52" s="921" t="str">
        <f t="shared" si="7"/>
        <v>Erate Funds</v>
      </c>
      <c r="P52" s="921">
        <f t="shared" si="8"/>
        <v>0</v>
      </c>
      <c r="R52" s="519"/>
    </row>
    <row r="53" spans="1:18" s="37" customFormat="1" hidden="1" x14ac:dyDescent="0.2">
      <c r="A53" s="45"/>
      <c r="B53" s="37" t="s">
        <v>683</v>
      </c>
      <c r="C53" s="920">
        <v>0</v>
      </c>
      <c r="D53" s="920">
        <v>0</v>
      </c>
      <c r="E53" s="920">
        <v>0</v>
      </c>
      <c r="F53" s="920">
        <v>0</v>
      </c>
      <c r="G53" s="920">
        <v>0</v>
      </c>
      <c r="H53" s="920">
        <v>0</v>
      </c>
      <c r="I53" s="920">
        <v>0</v>
      </c>
      <c r="J53" s="920">
        <v>0</v>
      </c>
      <c r="K53" s="920">
        <v>0</v>
      </c>
      <c r="L53" s="920">
        <v>0</v>
      </c>
      <c r="M53" s="920">
        <v>0</v>
      </c>
      <c r="N53" s="920">
        <v>0</v>
      </c>
      <c r="O53" s="921" t="str">
        <f t="shared" si="7"/>
        <v>Medicaid Reimbursement</v>
      </c>
      <c r="P53" s="921">
        <f t="shared" si="8"/>
        <v>0</v>
      </c>
      <c r="R53" s="519"/>
    </row>
    <row r="54" spans="1:18" s="37" customFormat="1" x14ac:dyDescent="0.2">
      <c r="A54" s="45"/>
      <c r="B54" s="37" t="s">
        <v>390</v>
      </c>
      <c r="C54" s="920">
        <v>120000</v>
      </c>
      <c r="D54" s="920">
        <v>0</v>
      </c>
      <c r="E54" s="920">
        <v>0</v>
      </c>
      <c r="F54" s="920">
        <v>0</v>
      </c>
      <c r="G54" s="920">
        <v>0</v>
      </c>
      <c r="H54" s="920">
        <v>0</v>
      </c>
      <c r="I54" s="920">
        <v>0</v>
      </c>
      <c r="J54" s="920">
        <v>0</v>
      </c>
      <c r="K54" s="920">
        <v>0</v>
      </c>
      <c r="L54" s="920">
        <v>0</v>
      </c>
      <c r="M54" s="920">
        <v>0</v>
      </c>
      <c r="N54" s="920">
        <v>0</v>
      </c>
      <c r="O54" s="921" t="str">
        <f t="shared" si="7"/>
        <v>Unrestricted - Direct Fed Gov't</v>
      </c>
      <c r="P54" s="921">
        <f t="shared" si="8"/>
        <v>120000</v>
      </c>
      <c r="R54" s="519"/>
    </row>
    <row r="55" spans="1:18" s="37" customFormat="1" hidden="1" x14ac:dyDescent="0.2">
      <c r="A55" s="45"/>
      <c r="B55" s="37" t="s">
        <v>617</v>
      </c>
      <c r="C55" s="920">
        <v>0</v>
      </c>
      <c r="D55" s="920">
        <v>0</v>
      </c>
      <c r="E55" s="920">
        <v>0</v>
      </c>
      <c r="F55" s="920">
        <v>0</v>
      </c>
      <c r="G55" s="920">
        <v>0</v>
      </c>
      <c r="H55" s="920">
        <v>0</v>
      </c>
      <c r="I55" s="920">
        <v>0</v>
      </c>
      <c r="J55" s="920">
        <v>0</v>
      </c>
      <c r="K55" s="920">
        <v>0</v>
      </c>
      <c r="L55" s="920">
        <v>0</v>
      </c>
      <c r="M55" s="920">
        <v>0</v>
      </c>
      <c r="N55" s="920">
        <v>0</v>
      </c>
      <c r="O55" s="921" t="str">
        <f t="shared" si="7"/>
        <v>Unrestricted - State Agency</v>
      </c>
      <c r="P55" s="921">
        <f t="shared" si="8"/>
        <v>0</v>
      </c>
      <c r="R55" s="519"/>
    </row>
    <row r="56" spans="1:18" s="37" customFormat="1" hidden="1" x14ac:dyDescent="0.2">
      <c r="A56" s="45"/>
      <c r="B56" s="37" t="s">
        <v>299</v>
      </c>
      <c r="C56" s="920">
        <v>0</v>
      </c>
      <c r="D56" s="920">
        <v>0</v>
      </c>
      <c r="E56" s="920">
        <v>0</v>
      </c>
      <c r="F56" s="920">
        <v>0</v>
      </c>
      <c r="G56" s="920">
        <v>0</v>
      </c>
      <c r="H56" s="920">
        <v>0</v>
      </c>
      <c r="I56" s="920">
        <v>0</v>
      </c>
      <c r="J56" s="920">
        <v>0</v>
      </c>
      <c r="K56" s="920">
        <v>0</v>
      </c>
      <c r="L56" s="920">
        <v>0</v>
      </c>
      <c r="M56" s="920">
        <v>0</v>
      </c>
      <c r="N56" s="920">
        <v>0</v>
      </c>
      <c r="O56" s="921" t="str">
        <f t="shared" si="7"/>
        <v>Restricted - Direct</v>
      </c>
      <c r="P56" s="921">
        <f t="shared" si="8"/>
        <v>0</v>
      </c>
      <c r="R56" s="519"/>
    </row>
    <row r="57" spans="1:18" s="37" customFormat="1" x14ac:dyDescent="0.2">
      <c r="A57" s="45"/>
      <c r="B57" s="37" t="s">
        <v>298</v>
      </c>
      <c r="C57" s="920">
        <v>0</v>
      </c>
      <c r="D57" s="920">
        <v>0</v>
      </c>
      <c r="E57" s="920">
        <v>0</v>
      </c>
      <c r="F57" s="920">
        <v>0</v>
      </c>
      <c r="G57" s="920">
        <v>0</v>
      </c>
      <c r="H57" s="920">
        <v>0</v>
      </c>
      <c r="I57" s="920">
        <v>961378</v>
      </c>
      <c r="J57" s="920">
        <v>0</v>
      </c>
      <c r="K57" s="920">
        <v>0</v>
      </c>
      <c r="L57" s="920">
        <v>0</v>
      </c>
      <c r="M57" s="920">
        <v>0</v>
      </c>
      <c r="N57" s="920">
        <v>0</v>
      </c>
      <c r="O57" s="921" t="str">
        <f t="shared" si="7"/>
        <v>Restricted - State Agency</v>
      </c>
      <c r="P57" s="921">
        <f t="shared" si="8"/>
        <v>961378</v>
      </c>
      <c r="R57" s="519"/>
    </row>
    <row r="58" spans="1:18" s="37" customFormat="1" hidden="1" x14ac:dyDescent="0.2">
      <c r="A58" s="45"/>
      <c r="B58" s="37" t="s">
        <v>476</v>
      </c>
      <c r="C58" s="920">
        <v>0</v>
      </c>
      <c r="D58" s="920">
        <v>0</v>
      </c>
      <c r="E58" s="920">
        <v>0</v>
      </c>
      <c r="F58" s="920">
        <v>0</v>
      </c>
      <c r="G58" s="920">
        <v>0</v>
      </c>
      <c r="H58" s="920">
        <v>0</v>
      </c>
      <c r="I58" s="920">
        <v>0</v>
      </c>
      <c r="J58" s="920">
        <v>0</v>
      </c>
      <c r="K58" s="920">
        <v>0</v>
      </c>
      <c r="L58" s="920">
        <v>0</v>
      </c>
      <c r="M58" s="920">
        <v>0</v>
      </c>
      <c r="N58" s="920">
        <v>0</v>
      </c>
      <c r="O58" s="921" t="str">
        <f t="shared" si="7"/>
        <v>Restricted - Other Agency</v>
      </c>
      <c r="P58" s="921">
        <f t="shared" si="8"/>
        <v>0</v>
      </c>
      <c r="R58" s="519"/>
    </row>
    <row r="59" spans="1:18" s="37" customFormat="1" hidden="1" x14ac:dyDescent="0.2">
      <c r="A59" s="45"/>
      <c r="B59" s="37" t="s">
        <v>398</v>
      </c>
      <c r="C59" s="913">
        <v>0</v>
      </c>
      <c r="D59" s="913">
        <v>0</v>
      </c>
      <c r="E59" s="913">
        <v>0</v>
      </c>
      <c r="F59" s="913">
        <v>0</v>
      </c>
      <c r="G59" s="913">
        <v>0</v>
      </c>
      <c r="H59" s="913">
        <v>0</v>
      </c>
      <c r="I59" s="913">
        <v>0</v>
      </c>
      <c r="J59" s="913">
        <v>0</v>
      </c>
      <c r="K59" s="913">
        <v>0</v>
      </c>
      <c r="L59" s="913">
        <v>0</v>
      </c>
      <c r="M59" s="913">
        <v>0</v>
      </c>
      <c r="N59" s="913">
        <v>0</v>
      </c>
      <c r="O59" s="921" t="str">
        <f t="shared" si="7"/>
        <v>Revenue in Lieu of Taxes</v>
      </c>
      <c r="P59" s="921">
        <f t="shared" si="8"/>
        <v>0</v>
      </c>
      <c r="R59" s="519"/>
    </row>
    <row r="60" spans="1:18" hidden="1" x14ac:dyDescent="0.2">
      <c r="B60" s="37" t="s">
        <v>554</v>
      </c>
      <c r="C60" s="913">
        <v>0</v>
      </c>
      <c r="D60" s="913">
        <v>0</v>
      </c>
      <c r="E60" s="913">
        <v>0</v>
      </c>
      <c r="F60" s="913">
        <v>0</v>
      </c>
      <c r="G60" s="913">
        <v>0</v>
      </c>
      <c r="H60" s="913">
        <v>0</v>
      </c>
      <c r="I60" s="913">
        <v>0</v>
      </c>
      <c r="J60" s="913">
        <v>0</v>
      </c>
      <c r="K60" s="913">
        <v>0</v>
      </c>
      <c r="L60" s="913">
        <v>0</v>
      </c>
      <c r="M60" s="913">
        <v>0</v>
      </c>
      <c r="N60" s="913">
        <v>0</v>
      </c>
      <c r="O60" s="919" t="str">
        <f t="shared" si="7"/>
        <v>Revenue for/on behalf of School District</v>
      </c>
      <c r="P60" s="919">
        <f t="shared" si="8"/>
        <v>0</v>
      </c>
      <c r="R60" s="519"/>
    </row>
    <row r="61" spans="1:18" hidden="1" x14ac:dyDescent="0.2"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08"/>
      <c r="P61" s="908"/>
    </row>
    <row r="62" spans="1:18" s="2" customFormat="1" x14ac:dyDescent="0.2">
      <c r="B62" s="39" t="s">
        <v>126</v>
      </c>
      <c r="C62" s="931">
        <f>SUM(C49:C61)</f>
        <v>120000</v>
      </c>
      <c r="D62" s="931">
        <f t="shared" ref="D62:N62" si="9">SUM(D49:D61)</f>
        <v>0</v>
      </c>
      <c r="E62" s="931">
        <f t="shared" si="9"/>
        <v>0</v>
      </c>
      <c r="F62" s="931">
        <f t="shared" si="9"/>
        <v>0</v>
      </c>
      <c r="G62" s="931">
        <f t="shared" si="9"/>
        <v>0</v>
      </c>
      <c r="H62" s="931">
        <f t="shared" si="9"/>
        <v>0</v>
      </c>
      <c r="I62" s="931">
        <f t="shared" si="9"/>
        <v>961378</v>
      </c>
      <c r="J62" s="931">
        <f t="shared" si="9"/>
        <v>225000</v>
      </c>
      <c r="K62" s="931">
        <f t="shared" si="9"/>
        <v>0</v>
      </c>
      <c r="L62" s="931">
        <f t="shared" si="9"/>
        <v>0</v>
      </c>
      <c r="M62" s="931">
        <f t="shared" si="9"/>
        <v>0</v>
      </c>
      <c r="N62" s="931">
        <f t="shared" si="9"/>
        <v>0</v>
      </c>
      <c r="O62" s="930">
        <f>SUM(C62:N62)</f>
        <v>1306378</v>
      </c>
      <c r="P62" s="903"/>
      <c r="R62" s="520"/>
    </row>
    <row r="63" spans="1:18" x14ac:dyDescent="0.2">
      <c r="B63" s="16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22"/>
      <c r="P63" s="908"/>
      <c r="R63" s="53"/>
    </row>
    <row r="64" spans="1:18" hidden="1" x14ac:dyDescent="0.2">
      <c r="B64" s="16" t="s">
        <v>300</v>
      </c>
      <c r="C64" s="916">
        <v>0</v>
      </c>
      <c r="D64" s="916">
        <v>0</v>
      </c>
      <c r="E64" s="916">
        <v>0</v>
      </c>
      <c r="F64" s="916">
        <v>0</v>
      </c>
      <c r="G64" s="916">
        <v>0</v>
      </c>
      <c r="H64" s="916">
        <v>0</v>
      </c>
      <c r="I64" s="916">
        <v>0</v>
      </c>
      <c r="J64" s="916">
        <v>0</v>
      </c>
      <c r="K64" s="916">
        <v>0</v>
      </c>
      <c r="L64" s="916">
        <v>0</v>
      </c>
      <c r="M64" s="916">
        <v>0</v>
      </c>
      <c r="N64" s="916">
        <v>0</v>
      </c>
      <c r="O64" s="908" t="s">
        <v>300</v>
      </c>
      <c r="P64" s="916">
        <f>SUM(C64:N64)</f>
        <v>0</v>
      </c>
    </row>
    <row r="65" spans="1:18" hidden="1" x14ac:dyDescent="0.2">
      <c r="B65" s="16" t="s">
        <v>408</v>
      </c>
      <c r="C65" s="916">
        <v>0</v>
      </c>
      <c r="D65" s="916">
        <v>0</v>
      </c>
      <c r="E65" s="916">
        <v>0</v>
      </c>
      <c r="F65" s="916">
        <v>0</v>
      </c>
      <c r="G65" s="916">
        <v>0</v>
      </c>
      <c r="H65" s="916">
        <v>0</v>
      </c>
      <c r="I65" s="916">
        <v>0</v>
      </c>
      <c r="J65" s="916">
        <v>0</v>
      </c>
      <c r="K65" s="916">
        <v>0</v>
      </c>
      <c r="L65" s="916">
        <v>0</v>
      </c>
      <c r="M65" s="916">
        <v>0</v>
      </c>
      <c r="N65" s="916">
        <v>0</v>
      </c>
      <c r="O65" s="908" t="s">
        <v>408</v>
      </c>
      <c r="P65" s="916">
        <f>SUM(C65:N65)</f>
        <v>0</v>
      </c>
    </row>
    <row r="66" spans="1:18" x14ac:dyDescent="0.2">
      <c r="B66" s="16" t="s">
        <v>301</v>
      </c>
      <c r="C66" s="916">
        <v>0</v>
      </c>
      <c r="D66" s="916">
        <v>0</v>
      </c>
      <c r="E66" s="916">
        <v>0</v>
      </c>
      <c r="F66" s="916">
        <v>0</v>
      </c>
      <c r="G66" s="916">
        <v>0</v>
      </c>
      <c r="H66" s="916">
        <v>602580</v>
      </c>
      <c r="I66" s="916">
        <v>0</v>
      </c>
      <c r="J66" s="916">
        <v>60175</v>
      </c>
      <c r="K66" s="916">
        <v>779552</v>
      </c>
      <c r="L66" s="916">
        <v>0</v>
      </c>
      <c r="M66" s="916">
        <v>0</v>
      </c>
      <c r="N66" s="916">
        <f>-1442307+779552</f>
        <v>-662755</v>
      </c>
      <c r="O66" s="908" t="s">
        <v>301</v>
      </c>
      <c r="P66" s="916">
        <f>SUM(C66:N66)</f>
        <v>779552</v>
      </c>
    </row>
    <row r="67" spans="1:18" hidden="1" x14ac:dyDescent="0.2">
      <c r="B67" s="16" t="s">
        <v>661</v>
      </c>
      <c r="C67" s="916">
        <v>0</v>
      </c>
      <c r="D67" s="916">
        <v>0</v>
      </c>
      <c r="E67" s="916">
        <v>0</v>
      </c>
      <c r="F67" s="916">
        <v>0</v>
      </c>
      <c r="G67" s="916">
        <v>0</v>
      </c>
      <c r="H67" s="916">
        <v>0</v>
      </c>
      <c r="I67" s="916">
        <v>0</v>
      </c>
      <c r="J67" s="916">
        <v>0</v>
      </c>
      <c r="K67" s="916">
        <v>0</v>
      </c>
      <c r="L67" s="916">
        <v>0</v>
      </c>
      <c r="M67" s="916">
        <v>0</v>
      </c>
      <c r="N67" s="916">
        <v>0</v>
      </c>
      <c r="O67" s="908" t="s">
        <v>661</v>
      </c>
      <c r="P67" s="916">
        <f>SUM(C67:N67)</f>
        <v>0</v>
      </c>
    </row>
    <row r="68" spans="1:18" hidden="1" x14ac:dyDescent="0.2">
      <c r="C68" s="916"/>
      <c r="D68" s="916"/>
      <c r="E68" s="916"/>
      <c r="F68" s="916"/>
      <c r="G68" s="916"/>
      <c r="H68" s="916"/>
      <c r="I68" s="916"/>
      <c r="J68" s="916"/>
      <c r="K68" s="916"/>
      <c r="L68" s="916"/>
      <c r="M68" s="916"/>
      <c r="N68" s="916"/>
      <c r="O68" s="922"/>
      <c r="P68" s="908"/>
    </row>
    <row r="69" spans="1:18" s="2" customFormat="1" x14ac:dyDescent="0.2">
      <c r="B69" s="39" t="s">
        <v>127</v>
      </c>
      <c r="C69" s="931">
        <f>SUM(C63:C68)</f>
        <v>0</v>
      </c>
      <c r="D69" s="931">
        <f t="shared" ref="D69:N69" si="10">SUM(D63:D68)</f>
        <v>0</v>
      </c>
      <c r="E69" s="931">
        <f t="shared" si="10"/>
        <v>0</v>
      </c>
      <c r="F69" s="931">
        <f t="shared" si="10"/>
        <v>0</v>
      </c>
      <c r="G69" s="931">
        <f t="shared" si="10"/>
        <v>0</v>
      </c>
      <c r="H69" s="931">
        <f t="shared" si="10"/>
        <v>602580</v>
      </c>
      <c r="I69" s="931">
        <f t="shared" si="10"/>
        <v>0</v>
      </c>
      <c r="J69" s="931">
        <f t="shared" si="10"/>
        <v>60175</v>
      </c>
      <c r="K69" s="931">
        <f t="shared" si="10"/>
        <v>779552</v>
      </c>
      <c r="L69" s="931">
        <f t="shared" si="10"/>
        <v>0</v>
      </c>
      <c r="M69" s="931">
        <f t="shared" si="10"/>
        <v>0</v>
      </c>
      <c r="N69" s="931">
        <f t="shared" si="10"/>
        <v>-662755</v>
      </c>
      <c r="O69" s="930">
        <f>SUM(C69:N69)</f>
        <v>779552</v>
      </c>
      <c r="P69" s="903"/>
      <c r="R69" s="520"/>
    </row>
    <row r="70" spans="1:18" x14ac:dyDescent="0.2">
      <c r="C70" s="916"/>
      <c r="D70" s="916"/>
      <c r="E70" s="916"/>
      <c r="F70" s="916"/>
      <c r="G70" s="916"/>
      <c r="H70" s="916"/>
      <c r="I70" s="916"/>
      <c r="J70" s="916"/>
      <c r="K70" s="916"/>
      <c r="L70" s="916"/>
      <c r="M70" s="916"/>
      <c r="N70" s="916"/>
      <c r="O70" s="922"/>
      <c r="P70" s="908"/>
      <c r="R70" s="53"/>
    </row>
    <row r="71" spans="1:18" s="2" customFormat="1" x14ac:dyDescent="0.2">
      <c r="B71" s="18" t="s">
        <v>128</v>
      </c>
      <c r="C71" s="931">
        <f>SUM(C69,C62,C48,C35)</f>
        <v>8418510</v>
      </c>
      <c r="D71" s="931">
        <f t="shared" ref="D71:N71" si="11">SUM(D69,D62,D48,D35)</f>
        <v>1107237</v>
      </c>
      <c r="E71" s="931">
        <f t="shared" si="11"/>
        <v>242381</v>
      </c>
      <c r="F71" s="931">
        <f t="shared" si="11"/>
        <v>1169293</v>
      </c>
      <c r="G71" s="931">
        <f t="shared" si="11"/>
        <v>932767</v>
      </c>
      <c r="H71" s="931">
        <f t="shared" si="11"/>
        <v>1386175</v>
      </c>
      <c r="I71" s="931">
        <f t="shared" si="11"/>
        <v>961378</v>
      </c>
      <c r="J71" s="931">
        <f t="shared" si="11"/>
        <v>347475</v>
      </c>
      <c r="K71" s="931">
        <f t="shared" si="11"/>
        <v>945593</v>
      </c>
      <c r="L71" s="931">
        <f t="shared" si="11"/>
        <v>0</v>
      </c>
      <c r="M71" s="931">
        <f t="shared" si="11"/>
        <v>100</v>
      </c>
      <c r="N71" s="931">
        <f t="shared" si="11"/>
        <v>-662755</v>
      </c>
      <c r="O71" s="930">
        <f>SUM(O35:O70)</f>
        <v>14848154</v>
      </c>
      <c r="P71" s="903"/>
      <c r="R71" s="520"/>
    </row>
    <row r="72" spans="1:18" s="2" customFormat="1" x14ac:dyDescent="0.2">
      <c r="B72" s="18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0"/>
      <c r="P72" s="903"/>
      <c r="R72" s="53"/>
    </row>
    <row r="73" spans="1:18" s="37" customFormat="1" hidden="1" x14ac:dyDescent="0.2">
      <c r="A73" s="45"/>
      <c r="B73" s="37" t="s">
        <v>662</v>
      </c>
      <c r="C73" s="920">
        <v>0</v>
      </c>
      <c r="D73" s="920">
        <v>0</v>
      </c>
      <c r="E73" s="920">
        <v>0</v>
      </c>
      <c r="F73" s="920">
        <v>0</v>
      </c>
      <c r="G73" s="920">
        <v>0</v>
      </c>
      <c r="H73" s="920">
        <v>0</v>
      </c>
      <c r="I73" s="920">
        <v>0</v>
      </c>
      <c r="J73" s="920">
        <v>0</v>
      </c>
      <c r="K73" s="920">
        <v>0</v>
      </c>
      <c r="L73" s="920">
        <v>0</v>
      </c>
      <c r="M73" s="920">
        <v>0</v>
      </c>
      <c r="N73" s="920">
        <v>0</v>
      </c>
      <c r="O73" s="921" t="str">
        <f t="shared" ref="O73:O78" si="12">B73</f>
        <v>Reserved Net Proceeds</v>
      </c>
      <c r="P73" s="921">
        <f t="shared" ref="P73:P78" si="13">SUM(C73:N73)</f>
        <v>0</v>
      </c>
      <c r="R73" s="53"/>
    </row>
    <row r="74" spans="1:18" s="37" customFormat="1" hidden="1" x14ac:dyDescent="0.2">
      <c r="A74" s="45"/>
      <c r="B74" s="37" t="s">
        <v>663</v>
      </c>
      <c r="C74" s="920">
        <v>0</v>
      </c>
      <c r="D74" s="920">
        <v>0</v>
      </c>
      <c r="E74" s="920">
        <v>0</v>
      </c>
      <c r="F74" s="920">
        <v>0</v>
      </c>
      <c r="G74" s="920">
        <v>0</v>
      </c>
      <c r="H74" s="920">
        <v>0</v>
      </c>
      <c r="I74" s="920">
        <v>0</v>
      </c>
      <c r="J74" s="920">
        <v>0</v>
      </c>
      <c r="K74" s="920">
        <v>0</v>
      </c>
      <c r="L74" s="920">
        <v>0</v>
      </c>
      <c r="M74" s="920">
        <v>0</v>
      </c>
      <c r="N74" s="920">
        <v>0</v>
      </c>
      <c r="O74" s="921" t="str">
        <f t="shared" si="12"/>
        <v>Reserved Fund Balance - PIRC</v>
      </c>
      <c r="P74" s="921">
        <f t="shared" si="13"/>
        <v>0</v>
      </c>
      <c r="R74" s="519"/>
    </row>
    <row r="75" spans="1:18" s="37" customFormat="1" hidden="1" x14ac:dyDescent="0.2">
      <c r="A75" s="45"/>
      <c r="B75" s="37" t="s">
        <v>303</v>
      </c>
      <c r="C75" s="920">
        <v>0</v>
      </c>
      <c r="D75" s="920">
        <v>0</v>
      </c>
      <c r="E75" s="920">
        <v>0</v>
      </c>
      <c r="F75" s="920">
        <v>0</v>
      </c>
      <c r="G75" s="920">
        <v>0</v>
      </c>
      <c r="H75" s="920">
        <v>0</v>
      </c>
      <c r="I75" s="920">
        <v>0</v>
      </c>
      <c r="J75" s="920">
        <v>0</v>
      </c>
      <c r="K75" s="920">
        <v>0</v>
      </c>
      <c r="L75" s="920">
        <v>0</v>
      </c>
      <c r="M75" s="920">
        <v>0</v>
      </c>
      <c r="N75" s="920">
        <v>0</v>
      </c>
      <c r="O75" s="921" t="str">
        <f t="shared" si="12"/>
        <v>Reserved Opening Balance</v>
      </c>
      <c r="P75" s="921">
        <f t="shared" si="13"/>
        <v>0</v>
      </c>
      <c r="R75" s="519"/>
    </row>
    <row r="76" spans="1:18" s="37" customFormat="1" hidden="1" x14ac:dyDescent="0.2">
      <c r="A76" s="45"/>
      <c r="B76" s="37" t="s">
        <v>600</v>
      </c>
      <c r="C76" s="920">
        <v>0</v>
      </c>
      <c r="D76" s="920">
        <v>0</v>
      </c>
      <c r="E76" s="920">
        <v>0</v>
      </c>
      <c r="F76" s="920">
        <v>0</v>
      </c>
      <c r="G76" s="920">
        <v>0</v>
      </c>
      <c r="H76" s="920">
        <v>0</v>
      </c>
      <c r="I76" s="920">
        <v>0</v>
      </c>
      <c r="J76" s="920">
        <v>0</v>
      </c>
      <c r="K76" s="920">
        <v>0</v>
      </c>
      <c r="L76" s="920">
        <v>0</v>
      </c>
      <c r="M76" s="920">
        <v>0</v>
      </c>
      <c r="N76" s="920">
        <v>0</v>
      </c>
      <c r="O76" s="921" t="str">
        <f t="shared" si="12"/>
        <v>Unreserved Opening Balance</v>
      </c>
      <c r="P76" s="921">
        <f t="shared" si="13"/>
        <v>0</v>
      </c>
      <c r="R76" s="519"/>
    </row>
    <row r="77" spans="1:18" s="37" customFormat="1" x14ac:dyDescent="0.2">
      <c r="A77" s="45"/>
      <c r="B77" s="37" t="s">
        <v>304</v>
      </c>
      <c r="C77" s="920">
        <v>3120980</v>
      </c>
      <c r="D77" s="920">
        <v>526315</v>
      </c>
      <c r="E77" s="920">
        <v>0</v>
      </c>
      <c r="F77" s="920">
        <v>0</v>
      </c>
      <c r="G77" s="920">
        <v>0</v>
      </c>
      <c r="H77" s="920">
        <v>9067</v>
      </c>
      <c r="I77" s="920">
        <v>0</v>
      </c>
      <c r="J77" s="920">
        <v>5870</v>
      </c>
      <c r="K77" s="920">
        <v>1266923</v>
      </c>
      <c r="L77" s="920">
        <v>50000</v>
      </c>
      <c r="M77" s="920">
        <v>5870</v>
      </c>
      <c r="N77" s="920">
        <v>0</v>
      </c>
      <c r="O77" s="921" t="str">
        <f t="shared" si="12"/>
        <v>Opening Balance (Other)</v>
      </c>
      <c r="P77" s="921">
        <f t="shared" si="13"/>
        <v>4985025</v>
      </c>
      <c r="R77" s="519"/>
    </row>
    <row r="78" spans="1:18" s="37" customFormat="1" hidden="1" x14ac:dyDescent="0.2">
      <c r="A78" s="45"/>
      <c r="B78" s="37" t="s">
        <v>305</v>
      </c>
      <c r="C78" s="920">
        <v>0</v>
      </c>
      <c r="D78" s="920">
        <v>0</v>
      </c>
      <c r="E78" s="920">
        <v>0</v>
      </c>
      <c r="F78" s="920">
        <v>0</v>
      </c>
      <c r="G78" s="920">
        <v>0</v>
      </c>
      <c r="H78" s="920">
        <v>0</v>
      </c>
      <c r="I78" s="920">
        <v>0</v>
      </c>
      <c r="J78" s="920">
        <v>0</v>
      </c>
      <c r="K78" s="920">
        <v>0</v>
      </c>
      <c r="L78" s="920">
        <v>0</v>
      </c>
      <c r="M78" s="920">
        <v>0</v>
      </c>
      <c r="N78" s="920">
        <v>0</v>
      </c>
      <c r="O78" s="921" t="str">
        <f t="shared" si="12"/>
        <v>Reverted to State</v>
      </c>
      <c r="P78" s="921">
        <f t="shared" si="13"/>
        <v>0</v>
      </c>
      <c r="R78" s="519"/>
    </row>
    <row r="79" spans="1:18" hidden="1" x14ac:dyDescent="0.2">
      <c r="C79" s="916"/>
      <c r="D79" s="916"/>
      <c r="E79" s="916"/>
      <c r="F79" s="916"/>
      <c r="G79" s="916"/>
      <c r="H79" s="916"/>
      <c r="I79" s="916"/>
      <c r="J79" s="916"/>
      <c r="K79" s="916"/>
      <c r="L79" s="916"/>
      <c r="M79" s="916"/>
      <c r="N79" s="916"/>
      <c r="O79" s="908"/>
      <c r="P79" s="908"/>
      <c r="R79" s="519"/>
    </row>
    <row r="80" spans="1:18" s="2" customFormat="1" x14ac:dyDescent="0.2">
      <c r="B80" s="39" t="s">
        <v>129</v>
      </c>
      <c r="C80" s="931">
        <f>SUM(C72:C79)</f>
        <v>3120980</v>
      </c>
      <c r="D80" s="931">
        <f t="shared" ref="D80:N80" si="14">SUM(D72:D79)</f>
        <v>526315</v>
      </c>
      <c r="E80" s="931">
        <f t="shared" si="14"/>
        <v>0</v>
      </c>
      <c r="F80" s="931">
        <f t="shared" si="14"/>
        <v>0</v>
      </c>
      <c r="G80" s="931">
        <f t="shared" si="14"/>
        <v>0</v>
      </c>
      <c r="H80" s="931">
        <f t="shared" si="14"/>
        <v>9067</v>
      </c>
      <c r="I80" s="931">
        <f t="shared" si="14"/>
        <v>0</v>
      </c>
      <c r="J80" s="931">
        <f t="shared" si="14"/>
        <v>5870</v>
      </c>
      <c r="K80" s="931">
        <f t="shared" si="14"/>
        <v>1266923</v>
      </c>
      <c r="L80" s="931">
        <f t="shared" si="14"/>
        <v>50000</v>
      </c>
      <c r="M80" s="931">
        <f t="shared" si="14"/>
        <v>5870</v>
      </c>
      <c r="N80" s="931">
        <f t="shared" si="14"/>
        <v>0</v>
      </c>
      <c r="O80" s="931">
        <f>SUM(C80:N80)</f>
        <v>4985025</v>
      </c>
      <c r="P80" s="903"/>
      <c r="R80" s="520"/>
    </row>
    <row r="81" spans="1:18" x14ac:dyDescent="0.2">
      <c r="R81" s="53"/>
    </row>
    <row r="82" spans="1:18" x14ac:dyDescent="0.2">
      <c r="A82" s="22"/>
      <c r="B82" s="23" t="s">
        <v>306</v>
      </c>
      <c r="C82" s="24">
        <f>SUM(C80,C71)</f>
        <v>11539490</v>
      </c>
      <c r="D82" s="24">
        <f t="shared" ref="D82:N82" si="15">SUM(D80,D71)</f>
        <v>1633552</v>
      </c>
      <c r="E82" s="24">
        <f t="shared" si="15"/>
        <v>242381</v>
      </c>
      <c r="F82" s="24">
        <f t="shared" si="15"/>
        <v>1169293</v>
      </c>
      <c r="G82" s="24">
        <f t="shared" si="15"/>
        <v>932767</v>
      </c>
      <c r="H82" s="24">
        <f t="shared" si="15"/>
        <v>1395242</v>
      </c>
      <c r="I82" s="24">
        <f t="shared" si="15"/>
        <v>961378</v>
      </c>
      <c r="J82" s="24">
        <f t="shared" si="15"/>
        <v>353345</v>
      </c>
      <c r="K82" s="24">
        <f t="shared" si="15"/>
        <v>2212516</v>
      </c>
      <c r="L82" s="24">
        <f t="shared" si="15"/>
        <v>50000</v>
      </c>
      <c r="M82" s="24">
        <f t="shared" si="15"/>
        <v>5970</v>
      </c>
      <c r="N82" s="24">
        <f t="shared" si="15"/>
        <v>-662755</v>
      </c>
      <c r="O82" s="25">
        <f>SUM(C82:N82)</f>
        <v>19833179</v>
      </c>
      <c r="P82" s="26">
        <f>F1-O82</f>
        <v>0</v>
      </c>
      <c r="Q82" s="17"/>
    </row>
    <row r="83" spans="1:18" s="2" customFormat="1" x14ac:dyDescent="0.2">
      <c r="A83" s="27"/>
      <c r="B83" s="28" t="s">
        <v>131</v>
      </c>
      <c r="C83" s="285">
        <f t="shared" ref="C83:N83" si="16">SUM(C87:C222)</f>
        <v>11539490</v>
      </c>
      <c r="D83" s="285">
        <f t="shared" si="16"/>
        <v>1633552</v>
      </c>
      <c r="E83" s="285">
        <f t="shared" si="16"/>
        <v>242381</v>
      </c>
      <c r="F83" s="285">
        <f t="shared" si="16"/>
        <v>1169293</v>
      </c>
      <c r="G83" s="285">
        <f t="shared" si="16"/>
        <v>932767</v>
      </c>
      <c r="H83" s="285">
        <f t="shared" si="16"/>
        <v>1395242</v>
      </c>
      <c r="I83" s="285">
        <f t="shared" si="16"/>
        <v>961378</v>
      </c>
      <c r="J83" s="285">
        <f t="shared" si="16"/>
        <v>353345</v>
      </c>
      <c r="K83" s="285">
        <f t="shared" si="16"/>
        <v>2212516</v>
      </c>
      <c r="L83" s="285">
        <f t="shared" si="16"/>
        <v>50000</v>
      </c>
      <c r="M83" s="285">
        <f t="shared" si="16"/>
        <v>5970</v>
      </c>
      <c r="N83" s="285">
        <f t="shared" si="16"/>
        <v>-662755</v>
      </c>
      <c r="O83" s="29">
        <f>SUM(C83:N83)</f>
        <v>19833179</v>
      </c>
      <c r="R83" s="520"/>
    </row>
    <row r="84" spans="1:18" x14ac:dyDescent="0.2">
      <c r="A84" s="30"/>
      <c r="B84" s="286" t="s">
        <v>132</v>
      </c>
      <c r="C84" s="909">
        <f t="shared" ref="C84:O84" si="17">C82-C83</f>
        <v>0</v>
      </c>
      <c r="D84" s="909">
        <f>D82-D83</f>
        <v>0</v>
      </c>
      <c r="E84" s="909">
        <f>E82-E83</f>
        <v>0</v>
      </c>
      <c r="F84" s="909">
        <f t="shared" ref="F84" si="18">F82-F83</f>
        <v>0</v>
      </c>
      <c r="G84" s="909">
        <f>G82-G83</f>
        <v>0</v>
      </c>
      <c r="H84" s="909">
        <f>H82-H83</f>
        <v>0</v>
      </c>
      <c r="I84" s="909">
        <f>I82-I83</f>
        <v>0</v>
      </c>
      <c r="J84" s="909">
        <f>J82-J83</f>
        <v>0</v>
      </c>
      <c r="K84" s="909">
        <f>K82-K83</f>
        <v>0</v>
      </c>
      <c r="L84" s="909">
        <f t="shared" ref="L84" si="19">L82-L83</f>
        <v>0</v>
      </c>
      <c r="M84" s="909">
        <f t="shared" si="17"/>
        <v>0</v>
      </c>
      <c r="N84" s="909">
        <f>N82-N83</f>
        <v>0</v>
      </c>
      <c r="O84" s="522">
        <f t="shared" si="17"/>
        <v>0</v>
      </c>
      <c r="R84" s="53"/>
    </row>
    <row r="86" spans="1:18" x14ac:dyDescent="0.2">
      <c r="B86" s="2" t="s">
        <v>307</v>
      </c>
    </row>
    <row r="87" spans="1:18" x14ac:dyDescent="0.2">
      <c r="A87" s="2">
        <v>100</v>
      </c>
      <c r="B87" t="s">
        <v>134</v>
      </c>
      <c r="C87" s="916">
        <v>4609180</v>
      </c>
      <c r="D87" s="916">
        <v>0</v>
      </c>
      <c r="E87" s="916">
        <v>242381</v>
      </c>
      <c r="F87" s="916">
        <v>0</v>
      </c>
      <c r="G87" s="916">
        <v>617165.75</v>
      </c>
      <c r="H87" s="916">
        <v>0</v>
      </c>
      <c r="I87" s="916">
        <v>294606</v>
      </c>
      <c r="J87" s="916">
        <v>0</v>
      </c>
      <c r="K87" s="916">
        <v>0</v>
      </c>
      <c r="L87" s="916">
        <v>0</v>
      </c>
      <c r="M87" s="916">
        <v>0</v>
      </c>
      <c r="N87" s="916">
        <v>0</v>
      </c>
      <c r="O87" s="916">
        <f t="shared" ref="O87:O131" si="20">SUM(C87:N87)</f>
        <v>5763332.75</v>
      </c>
    </row>
    <row r="88" spans="1:18" x14ac:dyDescent="0.2">
      <c r="A88" s="2">
        <v>200</v>
      </c>
      <c r="B88" t="s">
        <v>135</v>
      </c>
      <c r="C88" s="916">
        <v>0</v>
      </c>
      <c r="D88" s="916">
        <v>0</v>
      </c>
      <c r="E88" s="916">
        <v>0</v>
      </c>
      <c r="F88" s="916">
        <v>0</v>
      </c>
      <c r="G88" s="916">
        <v>37937.75</v>
      </c>
      <c r="H88" s="916">
        <v>1357892</v>
      </c>
      <c r="I88" s="916">
        <v>225676</v>
      </c>
      <c r="J88" s="916">
        <v>0</v>
      </c>
      <c r="K88" s="916">
        <v>0</v>
      </c>
      <c r="L88" s="916">
        <v>0</v>
      </c>
      <c r="M88" s="916">
        <v>0</v>
      </c>
      <c r="N88" s="916">
        <v>0</v>
      </c>
      <c r="O88" s="916">
        <f t="shared" si="20"/>
        <v>1621505.75</v>
      </c>
    </row>
    <row r="89" spans="1:18" hidden="1" x14ac:dyDescent="0.2">
      <c r="A89" s="2" t="s">
        <v>10</v>
      </c>
      <c r="B89" t="s">
        <v>136</v>
      </c>
      <c r="C89" s="916">
        <v>0</v>
      </c>
      <c r="D89" s="916">
        <v>0</v>
      </c>
      <c r="E89" s="916">
        <v>0</v>
      </c>
      <c r="F89" s="916">
        <v>0</v>
      </c>
      <c r="G89" s="916">
        <v>0</v>
      </c>
      <c r="H89" s="916">
        <v>0</v>
      </c>
      <c r="I89" s="916">
        <v>0</v>
      </c>
      <c r="J89" s="916">
        <v>0</v>
      </c>
      <c r="K89" s="916">
        <v>0</v>
      </c>
      <c r="L89" s="916">
        <v>0</v>
      </c>
      <c r="M89" s="916">
        <v>0</v>
      </c>
      <c r="N89" s="916">
        <v>0</v>
      </c>
      <c r="O89" s="916">
        <f t="shared" si="20"/>
        <v>0</v>
      </c>
    </row>
    <row r="90" spans="1:18" hidden="1" x14ac:dyDescent="0.2">
      <c r="A90" s="2">
        <v>270</v>
      </c>
      <c r="B90" t="s">
        <v>137</v>
      </c>
      <c r="C90" s="916">
        <v>0</v>
      </c>
      <c r="D90" s="916">
        <v>0</v>
      </c>
      <c r="E90" s="916">
        <v>0</v>
      </c>
      <c r="F90" s="916">
        <v>0</v>
      </c>
      <c r="G90" s="916">
        <v>0</v>
      </c>
      <c r="H90" s="916">
        <v>0</v>
      </c>
      <c r="I90" s="916">
        <v>0</v>
      </c>
      <c r="J90" s="916">
        <v>0</v>
      </c>
      <c r="K90" s="916">
        <v>0</v>
      </c>
      <c r="L90" s="916">
        <v>0</v>
      </c>
      <c r="M90" s="916">
        <v>0</v>
      </c>
      <c r="N90" s="916">
        <v>0</v>
      </c>
      <c r="O90" s="916">
        <f t="shared" si="20"/>
        <v>0</v>
      </c>
    </row>
    <row r="91" spans="1:18" hidden="1" x14ac:dyDescent="0.2">
      <c r="A91" s="2" t="s">
        <v>10</v>
      </c>
      <c r="B91" t="s">
        <v>138</v>
      </c>
      <c r="C91" s="916">
        <v>0</v>
      </c>
      <c r="D91" s="916">
        <v>0</v>
      </c>
      <c r="E91" s="916">
        <v>0</v>
      </c>
      <c r="F91" s="916">
        <v>0</v>
      </c>
      <c r="G91" s="916">
        <v>0</v>
      </c>
      <c r="H91" s="916">
        <v>0</v>
      </c>
      <c r="I91" s="916">
        <v>0</v>
      </c>
      <c r="J91" s="916">
        <v>0</v>
      </c>
      <c r="K91" s="916">
        <v>0</v>
      </c>
      <c r="L91" s="916">
        <v>0</v>
      </c>
      <c r="M91" s="916">
        <v>0</v>
      </c>
      <c r="N91" s="916">
        <v>0</v>
      </c>
      <c r="O91" s="916">
        <f t="shared" si="20"/>
        <v>0</v>
      </c>
    </row>
    <row r="92" spans="1:18" x14ac:dyDescent="0.2">
      <c r="A92" s="2">
        <v>300</v>
      </c>
      <c r="B92" t="s">
        <v>139</v>
      </c>
      <c r="C92" s="916">
        <v>120800</v>
      </c>
      <c r="D92" s="916">
        <v>0</v>
      </c>
      <c r="E92" s="916">
        <v>0</v>
      </c>
      <c r="F92" s="916">
        <v>0</v>
      </c>
      <c r="G92" s="916">
        <v>119032.75</v>
      </c>
      <c r="H92" s="916">
        <v>0</v>
      </c>
      <c r="I92" s="916">
        <v>9647</v>
      </c>
      <c r="J92" s="916">
        <v>0</v>
      </c>
      <c r="K92" s="916">
        <v>0</v>
      </c>
      <c r="L92" s="916">
        <v>0</v>
      </c>
      <c r="M92" s="916">
        <v>0</v>
      </c>
      <c r="N92" s="916">
        <v>0</v>
      </c>
      <c r="O92" s="916">
        <f t="shared" si="20"/>
        <v>249479.75</v>
      </c>
    </row>
    <row r="93" spans="1:18" hidden="1" x14ac:dyDescent="0.2">
      <c r="A93" s="2">
        <v>400</v>
      </c>
      <c r="B93" t="s">
        <v>140</v>
      </c>
      <c r="C93" s="916">
        <v>0</v>
      </c>
      <c r="D93" s="916">
        <v>0</v>
      </c>
      <c r="E93" s="916">
        <v>0</v>
      </c>
      <c r="F93" s="916">
        <v>0</v>
      </c>
      <c r="G93" s="916">
        <v>0</v>
      </c>
      <c r="H93" s="916">
        <v>0</v>
      </c>
      <c r="I93" s="916">
        <v>0</v>
      </c>
      <c r="J93" s="916">
        <v>0</v>
      </c>
      <c r="K93" s="916">
        <v>0</v>
      </c>
      <c r="L93" s="916">
        <v>0</v>
      </c>
      <c r="M93" s="916">
        <v>0</v>
      </c>
      <c r="N93" s="916">
        <v>0</v>
      </c>
      <c r="O93" s="916">
        <f t="shared" si="20"/>
        <v>0</v>
      </c>
    </row>
    <row r="94" spans="1:18" hidden="1" x14ac:dyDescent="0.2">
      <c r="A94" s="2" t="s">
        <v>10</v>
      </c>
      <c r="B94" t="s">
        <v>141</v>
      </c>
      <c r="C94" s="916">
        <v>0</v>
      </c>
      <c r="D94" s="916">
        <v>0</v>
      </c>
      <c r="E94" s="916">
        <v>0</v>
      </c>
      <c r="F94" s="916">
        <v>0</v>
      </c>
      <c r="G94" s="916">
        <v>0</v>
      </c>
      <c r="H94" s="916">
        <v>0</v>
      </c>
      <c r="I94" s="916">
        <v>0</v>
      </c>
      <c r="J94" s="916">
        <v>0</v>
      </c>
      <c r="K94" s="916">
        <v>0</v>
      </c>
      <c r="L94" s="916">
        <v>0</v>
      </c>
      <c r="M94" s="916">
        <v>0</v>
      </c>
      <c r="N94" s="916">
        <v>0</v>
      </c>
      <c r="O94" s="916">
        <f t="shared" si="20"/>
        <v>0</v>
      </c>
    </row>
    <row r="95" spans="1:18" hidden="1" x14ac:dyDescent="0.2">
      <c r="A95" s="2" t="s">
        <v>10</v>
      </c>
      <c r="B95" t="s">
        <v>142</v>
      </c>
      <c r="C95" s="916">
        <v>0</v>
      </c>
      <c r="D95" s="916">
        <v>0</v>
      </c>
      <c r="E95" s="916">
        <v>0</v>
      </c>
      <c r="F95" s="916">
        <v>0</v>
      </c>
      <c r="G95" s="916">
        <v>0</v>
      </c>
      <c r="H95" s="916">
        <v>0</v>
      </c>
      <c r="I95" s="916">
        <v>0</v>
      </c>
      <c r="J95" s="916">
        <v>0</v>
      </c>
      <c r="K95" s="916">
        <v>0</v>
      </c>
      <c r="L95" s="916">
        <v>0</v>
      </c>
      <c r="M95" s="916">
        <v>0</v>
      </c>
      <c r="N95" s="916">
        <v>0</v>
      </c>
      <c r="O95" s="916">
        <f t="shared" si="20"/>
        <v>0</v>
      </c>
    </row>
    <row r="96" spans="1:18" hidden="1" x14ac:dyDescent="0.2">
      <c r="A96" s="2">
        <v>430</v>
      </c>
      <c r="B96" s="3" t="s">
        <v>548</v>
      </c>
      <c r="C96" s="916">
        <v>0</v>
      </c>
      <c r="D96" s="916">
        <v>0</v>
      </c>
      <c r="E96" s="916">
        <v>0</v>
      </c>
      <c r="F96" s="916">
        <v>0</v>
      </c>
      <c r="G96" s="916">
        <v>0</v>
      </c>
      <c r="H96" s="916">
        <v>0</v>
      </c>
      <c r="I96" s="916">
        <v>0</v>
      </c>
      <c r="J96" s="916">
        <v>0</v>
      </c>
      <c r="K96" s="916">
        <v>0</v>
      </c>
      <c r="L96" s="916">
        <v>0</v>
      </c>
      <c r="M96" s="916">
        <v>0</v>
      </c>
      <c r="N96" s="916">
        <v>0</v>
      </c>
      <c r="O96" s="916">
        <f t="shared" si="20"/>
        <v>0</v>
      </c>
    </row>
    <row r="97" spans="1:18" hidden="1" x14ac:dyDescent="0.2">
      <c r="A97" s="2">
        <v>440</v>
      </c>
      <c r="B97" t="s">
        <v>143</v>
      </c>
      <c r="C97" s="916">
        <v>0</v>
      </c>
      <c r="D97" s="916">
        <v>0</v>
      </c>
      <c r="E97" s="916">
        <v>0</v>
      </c>
      <c r="F97" s="916">
        <v>0</v>
      </c>
      <c r="G97" s="916">
        <v>0</v>
      </c>
      <c r="H97" s="916">
        <v>0</v>
      </c>
      <c r="I97" s="916">
        <v>0</v>
      </c>
      <c r="J97" s="916">
        <v>0</v>
      </c>
      <c r="K97" s="916">
        <v>0</v>
      </c>
      <c r="L97" s="916">
        <v>0</v>
      </c>
      <c r="M97" s="916">
        <v>0</v>
      </c>
      <c r="N97" s="916">
        <v>0</v>
      </c>
      <c r="O97" s="916">
        <f t="shared" si="20"/>
        <v>0</v>
      </c>
    </row>
    <row r="98" spans="1:18" hidden="1" x14ac:dyDescent="0.2">
      <c r="A98" s="2">
        <v>500</v>
      </c>
      <c r="B98" t="s">
        <v>144</v>
      </c>
      <c r="C98" s="916">
        <v>0</v>
      </c>
      <c r="D98" s="916">
        <v>0</v>
      </c>
      <c r="E98" s="916">
        <v>0</v>
      </c>
      <c r="F98" s="916">
        <v>0</v>
      </c>
      <c r="G98" s="916">
        <v>0</v>
      </c>
      <c r="H98" s="916">
        <v>0</v>
      </c>
      <c r="I98" s="916">
        <v>0</v>
      </c>
      <c r="J98" s="916">
        <v>0</v>
      </c>
      <c r="K98" s="916">
        <v>0</v>
      </c>
      <c r="L98" s="916">
        <v>0</v>
      </c>
      <c r="M98" s="916">
        <v>0</v>
      </c>
      <c r="N98" s="916">
        <v>0</v>
      </c>
      <c r="O98" s="916">
        <f t="shared" si="20"/>
        <v>0</v>
      </c>
    </row>
    <row r="99" spans="1:18" x14ac:dyDescent="0.2">
      <c r="A99" s="2">
        <v>600</v>
      </c>
      <c r="B99" t="s">
        <v>145</v>
      </c>
      <c r="C99" s="916">
        <v>0</v>
      </c>
      <c r="D99" s="916">
        <v>0</v>
      </c>
      <c r="E99" s="916">
        <v>0</v>
      </c>
      <c r="F99" s="916">
        <v>1169293</v>
      </c>
      <c r="G99" s="916">
        <v>958.75</v>
      </c>
      <c r="H99" s="916">
        <v>0</v>
      </c>
      <c r="I99" s="916">
        <v>96450</v>
      </c>
      <c r="J99" s="916">
        <v>0</v>
      </c>
      <c r="K99" s="916">
        <v>0</v>
      </c>
      <c r="L99" s="916">
        <v>0</v>
      </c>
      <c r="M99" s="916">
        <v>0</v>
      </c>
      <c r="N99" s="916">
        <v>0</v>
      </c>
      <c r="O99" s="916">
        <f t="shared" si="20"/>
        <v>1266701.75</v>
      </c>
    </row>
    <row r="100" spans="1:18" hidden="1" x14ac:dyDescent="0.2">
      <c r="A100" s="2">
        <v>800</v>
      </c>
      <c r="B100" t="s">
        <v>146</v>
      </c>
      <c r="C100" s="916">
        <v>0</v>
      </c>
      <c r="D100" s="916">
        <v>0</v>
      </c>
      <c r="E100" s="916">
        <v>0</v>
      </c>
      <c r="F100" s="916">
        <v>0</v>
      </c>
      <c r="G100" s="916">
        <v>0</v>
      </c>
      <c r="H100" s="916">
        <v>0</v>
      </c>
      <c r="I100" s="916">
        <v>0</v>
      </c>
      <c r="J100" s="916">
        <v>0</v>
      </c>
      <c r="K100" s="916">
        <v>0</v>
      </c>
      <c r="L100" s="916">
        <v>0</v>
      </c>
      <c r="M100" s="916">
        <v>0</v>
      </c>
      <c r="N100" s="916">
        <v>0</v>
      </c>
      <c r="O100" s="916">
        <f t="shared" si="20"/>
        <v>0</v>
      </c>
    </row>
    <row r="101" spans="1:18" hidden="1" x14ac:dyDescent="0.2">
      <c r="A101" s="2">
        <v>910</v>
      </c>
      <c r="B101" t="s">
        <v>147</v>
      </c>
      <c r="C101" s="916">
        <v>0</v>
      </c>
      <c r="D101" s="916">
        <v>0</v>
      </c>
      <c r="E101" s="916">
        <v>0</v>
      </c>
      <c r="F101" s="916">
        <v>0</v>
      </c>
      <c r="G101" s="916">
        <v>0</v>
      </c>
      <c r="H101" s="916">
        <v>0</v>
      </c>
      <c r="I101" s="916">
        <v>0</v>
      </c>
      <c r="J101" s="916">
        <v>0</v>
      </c>
      <c r="K101" s="916">
        <v>0</v>
      </c>
      <c r="L101" s="916">
        <v>0</v>
      </c>
      <c r="M101" s="916">
        <v>0</v>
      </c>
      <c r="N101" s="916">
        <v>0</v>
      </c>
      <c r="O101" s="916">
        <f t="shared" si="20"/>
        <v>0</v>
      </c>
    </row>
    <row r="102" spans="1:18" x14ac:dyDescent="0.2">
      <c r="A102" s="2">
        <v>920</v>
      </c>
      <c r="B102" t="s">
        <v>148</v>
      </c>
      <c r="C102" s="916">
        <v>192750</v>
      </c>
      <c r="D102" s="916">
        <v>0</v>
      </c>
      <c r="E102" s="916">
        <v>0</v>
      </c>
      <c r="F102" s="916">
        <v>0</v>
      </c>
      <c r="G102" s="916">
        <v>0</v>
      </c>
      <c r="H102" s="916">
        <v>0</v>
      </c>
      <c r="I102" s="916">
        <v>0</v>
      </c>
      <c r="J102" s="916">
        <v>0</v>
      </c>
      <c r="K102" s="916">
        <v>0</v>
      </c>
      <c r="L102" s="916">
        <v>0</v>
      </c>
      <c r="M102" s="916">
        <v>0</v>
      </c>
      <c r="N102" s="916">
        <v>0</v>
      </c>
      <c r="O102" s="916">
        <f t="shared" si="20"/>
        <v>192750</v>
      </c>
    </row>
    <row r="103" spans="1:18" x14ac:dyDescent="0.2">
      <c r="C103" s="916"/>
      <c r="D103" s="916"/>
      <c r="E103" s="916"/>
      <c r="F103" s="916"/>
      <c r="G103" s="916"/>
      <c r="H103" s="916"/>
      <c r="I103" s="916"/>
      <c r="J103" s="916"/>
      <c r="K103" s="916"/>
      <c r="L103" s="916"/>
      <c r="M103" s="916"/>
      <c r="N103" s="916"/>
      <c r="O103" s="916">
        <f t="shared" si="20"/>
        <v>0</v>
      </c>
    </row>
    <row r="104" spans="1:18" x14ac:dyDescent="0.2">
      <c r="A104" s="2" t="s">
        <v>149</v>
      </c>
      <c r="B104" s="2" t="s">
        <v>150</v>
      </c>
      <c r="C104" s="916"/>
      <c r="D104" s="916"/>
      <c r="E104" s="916"/>
      <c r="F104" s="916"/>
      <c r="G104" s="916"/>
      <c r="H104" s="916"/>
      <c r="I104" s="916"/>
      <c r="J104" s="916"/>
      <c r="K104" s="916"/>
      <c r="L104" s="916"/>
      <c r="M104" s="916"/>
      <c r="N104" s="916"/>
      <c r="O104" s="916">
        <f t="shared" si="20"/>
        <v>0</v>
      </c>
      <c r="R104"/>
    </row>
    <row r="105" spans="1:18" x14ac:dyDescent="0.2">
      <c r="A105" s="2">
        <v>2100</v>
      </c>
      <c r="B105" t="s">
        <v>151</v>
      </c>
      <c r="C105" s="916">
        <v>93020</v>
      </c>
      <c r="D105" s="916">
        <v>0</v>
      </c>
      <c r="E105" s="916">
        <v>0</v>
      </c>
      <c r="F105" s="916">
        <v>0</v>
      </c>
      <c r="G105" s="916">
        <v>90623</v>
      </c>
      <c r="H105" s="916">
        <v>0</v>
      </c>
      <c r="I105" s="916">
        <v>315165</v>
      </c>
      <c r="J105" s="916">
        <v>0</v>
      </c>
      <c r="K105" s="916">
        <v>80000</v>
      </c>
      <c r="L105" s="916">
        <v>0</v>
      </c>
      <c r="M105" s="916">
        <v>0</v>
      </c>
      <c r="N105" s="916">
        <v>0</v>
      </c>
      <c r="O105" s="916">
        <f t="shared" si="20"/>
        <v>578808</v>
      </c>
      <c r="R105"/>
    </row>
    <row r="106" spans="1:18" hidden="1" x14ac:dyDescent="0.2">
      <c r="A106" s="2">
        <v>2200</v>
      </c>
      <c r="B106" t="s">
        <v>152</v>
      </c>
      <c r="C106" s="916">
        <v>0</v>
      </c>
      <c r="D106" s="916">
        <v>0</v>
      </c>
      <c r="E106" s="916">
        <v>0</v>
      </c>
      <c r="F106" s="916">
        <v>0</v>
      </c>
      <c r="G106" s="916">
        <v>0</v>
      </c>
      <c r="H106" s="916">
        <v>0</v>
      </c>
      <c r="I106" s="916">
        <v>0</v>
      </c>
      <c r="J106" s="916">
        <v>0</v>
      </c>
      <c r="K106" s="916">
        <v>0</v>
      </c>
      <c r="L106" s="916">
        <v>0</v>
      </c>
      <c r="M106" s="916">
        <v>0</v>
      </c>
      <c r="N106" s="916">
        <v>0</v>
      </c>
      <c r="O106" s="916">
        <f t="shared" si="20"/>
        <v>0</v>
      </c>
      <c r="R106"/>
    </row>
    <row r="107" spans="1:18" x14ac:dyDescent="0.2">
      <c r="A107" s="2">
        <v>2300</v>
      </c>
      <c r="B107" t="s">
        <v>153</v>
      </c>
      <c r="C107" s="916">
        <v>278500</v>
      </c>
      <c r="D107" s="916">
        <v>0</v>
      </c>
      <c r="E107" s="916">
        <v>0</v>
      </c>
      <c r="F107" s="916">
        <v>0</v>
      </c>
      <c r="G107" s="916">
        <v>0</v>
      </c>
      <c r="H107" s="916">
        <v>0</v>
      </c>
      <c r="I107" s="916">
        <v>0</v>
      </c>
      <c r="J107" s="916">
        <v>0</v>
      </c>
      <c r="K107" s="916">
        <v>0</v>
      </c>
      <c r="L107" s="916">
        <v>0</v>
      </c>
      <c r="M107" s="916">
        <v>0</v>
      </c>
      <c r="N107" s="916">
        <v>0</v>
      </c>
      <c r="O107" s="916">
        <f t="shared" si="20"/>
        <v>278500</v>
      </c>
      <c r="R107"/>
    </row>
    <row r="108" spans="1:18" x14ac:dyDescent="0.2">
      <c r="A108" s="2">
        <v>2400</v>
      </c>
      <c r="B108" t="s">
        <v>154</v>
      </c>
      <c r="C108" s="916">
        <v>640815</v>
      </c>
      <c r="D108" s="916">
        <v>0</v>
      </c>
      <c r="E108" s="916">
        <v>0</v>
      </c>
      <c r="F108" s="916">
        <v>0</v>
      </c>
      <c r="G108" s="916">
        <v>0</v>
      </c>
      <c r="H108" s="916">
        <v>0</v>
      </c>
      <c r="I108" s="916">
        <v>0</v>
      </c>
      <c r="J108" s="916">
        <v>0</v>
      </c>
      <c r="K108" s="916">
        <v>0</v>
      </c>
      <c r="L108" s="916">
        <v>0</v>
      </c>
      <c r="M108" s="916">
        <v>0</v>
      </c>
      <c r="N108" s="916">
        <v>0</v>
      </c>
      <c r="O108" s="916">
        <f t="shared" si="20"/>
        <v>640815</v>
      </c>
      <c r="R108"/>
    </row>
    <row r="109" spans="1:18" x14ac:dyDescent="0.2">
      <c r="A109" s="2">
        <v>2500</v>
      </c>
      <c r="B109" t="s">
        <v>155</v>
      </c>
      <c r="C109" s="916">
        <v>905550</v>
      </c>
      <c r="D109" s="916">
        <v>0</v>
      </c>
      <c r="E109" s="916">
        <v>0</v>
      </c>
      <c r="F109" s="916">
        <v>0</v>
      </c>
      <c r="G109" s="916">
        <v>0</v>
      </c>
      <c r="H109" s="916">
        <v>0</v>
      </c>
      <c r="I109" s="916">
        <v>0</v>
      </c>
      <c r="J109" s="916">
        <v>0</v>
      </c>
      <c r="K109" s="916">
        <v>25000</v>
      </c>
      <c r="L109" s="916">
        <v>5000</v>
      </c>
      <c r="M109" s="916">
        <v>0</v>
      </c>
      <c r="N109" s="916">
        <v>0</v>
      </c>
      <c r="O109" s="916">
        <f t="shared" si="20"/>
        <v>935550</v>
      </c>
      <c r="R109"/>
    </row>
    <row r="110" spans="1:18" x14ac:dyDescent="0.2">
      <c r="A110" s="2">
        <v>2600</v>
      </c>
      <c r="B110" t="s">
        <v>156</v>
      </c>
      <c r="C110" s="916">
        <v>1261570</v>
      </c>
      <c r="D110" s="916">
        <v>0</v>
      </c>
      <c r="E110" s="916">
        <v>0</v>
      </c>
      <c r="F110" s="916">
        <v>0</v>
      </c>
      <c r="G110" s="916">
        <v>66150</v>
      </c>
      <c r="H110" s="916">
        <v>0</v>
      </c>
      <c r="I110" s="916">
        <v>0</v>
      </c>
      <c r="J110" s="916">
        <v>0</v>
      </c>
      <c r="K110" s="916">
        <v>20000</v>
      </c>
      <c r="L110" s="916">
        <v>0</v>
      </c>
      <c r="M110" s="916">
        <v>0</v>
      </c>
      <c r="N110" s="916">
        <v>0</v>
      </c>
      <c r="O110" s="916">
        <f t="shared" si="20"/>
        <v>1347720</v>
      </c>
      <c r="R110"/>
    </row>
    <row r="111" spans="1:18" x14ac:dyDescent="0.2">
      <c r="A111" s="2">
        <v>2700</v>
      </c>
      <c r="B111" t="s">
        <v>157</v>
      </c>
      <c r="C111" s="916">
        <v>854725</v>
      </c>
      <c r="D111" s="916">
        <v>0</v>
      </c>
      <c r="E111" s="916">
        <v>0</v>
      </c>
      <c r="F111" s="916">
        <v>0</v>
      </c>
      <c r="G111" s="916">
        <v>0</v>
      </c>
      <c r="H111" s="916">
        <v>37350</v>
      </c>
      <c r="I111" s="916">
        <v>0</v>
      </c>
      <c r="J111" s="916">
        <v>0</v>
      </c>
      <c r="K111" s="916">
        <v>0</v>
      </c>
      <c r="L111" s="916">
        <v>0</v>
      </c>
      <c r="M111" s="916">
        <v>0</v>
      </c>
      <c r="N111" s="916">
        <v>0</v>
      </c>
      <c r="O111" s="916">
        <f t="shared" si="20"/>
        <v>892075</v>
      </c>
      <c r="R111"/>
    </row>
    <row r="112" spans="1:18" x14ac:dyDescent="0.2">
      <c r="A112" s="2">
        <v>2900</v>
      </c>
      <c r="B112" t="s">
        <v>158</v>
      </c>
      <c r="C112" s="916">
        <v>0</v>
      </c>
      <c r="D112" s="916">
        <v>0</v>
      </c>
      <c r="E112" s="916">
        <v>0</v>
      </c>
      <c r="F112" s="916">
        <v>0</v>
      </c>
      <c r="G112" s="916">
        <v>0</v>
      </c>
      <c r="H112" s="916">
        <v>0</v>
      </c>
      <c r="I112" s="916">
        <v>0</v>
      </c>
      <c r="J112" s="916">
        <v>0</v>
      </c>
      <c r="K112" s="916">
        <v>0</v>
      </c>
      <c r="L112" s="916">
        <v>0</v>
      </c>
      <c r="M112" s="916">
        <v>5970</v>
      </c>
      <c r="N112" s="916">
        <v>0</v>
      </c>
      <c r="O112" s="916">
        <f t="shared" si="20"/>
        <v>5970</v>
      </c>
    </row>
    <row r="113" spans="1:15" hidden="1" x14ac:dyDescent="0.2">
      <c r="A113" s="2">
        <v>3000</v>
      </c>
      <c r="B113" t="s">
        <v>159</v>
      </c>
      <c r="C113" s="916">
        <v>0</v>
      </c>
      <c r="D113" s="916">
        <v>0</v>
      </c>
      <c r="E113" s="916">
        <v>0</v>
      </c>
      <c r="F113" s="916">
        <v>0</v>
      </c>
      <c r="G113" s="916">
        <v>0</v>
      </c>
      <c r="H113" s="916">
        <v>0</v>
      </c>
      <c r="I113" s="916">
        <v>0</v>
      </c>
      <c r="J113" s="916">
        <v>0</v>
      </c>
      <c r="K113" s="916">
        <v>0</v>
      </c>
      <c r="L113" s="916">
        <v>0</v>
      </c>
      <c r="M113" s="916">
        <v>0</v>
      </c>
      <c r="N113" s="916">
        <v>0</v>
      </c>
      <c r="O113" s="916">
        <f t="shared" si="20"/>
        <v>0</v>
      </c>
    </row>
    <row r="114" spans="1:15" x14ac:dyDescent="0.2">
      <c r="A114" s="2">
        <v>3100</v>
      </c>
      <c r="B114" t="s">
        <v>160</v>
      </c>
      <c r="C114" s="916">
        <v>0</v>
      </c>
      <c r="D114" s="916">
        <v>0</v>
      </c>
      <c r="E114" s="916">
        <v>0</v>
      </c>
      <c r="F114" s="916">
        <v>0</v>
      </c>
      <c r="G114" s="916">
        <v>899</v>
      </c>
      <c r="H114" s="916">
        <v>0</v>
      </c>
      <c r="I114" s="916">
        <v>19834</v>
      </c>
      <c r="J114" s="916">
        <v>353345</v>
      </c>
      <c r="K114" s="916">
        <v>10000</v>
      </c>
      <c r="L114" s="916">
        <v>0</v>
      </c>
      <c r="M114" s="916">
        <v>0</v>
      </c>
      <c r="N114" s="916">
        <v>0</v>
      </c>
      <c r="O114" s="916">
        <f t="shared" si="20"/>
        <v>384078</v>
      </c>
    </row>
    <row r="115" spans="1:15" hidden="1" x14ac:dyDescent="0.2">
      <c r="A115" s="2">
        <v>3200</v>
      </c>
      <c r="B115" t="s">
        <v>161</v>
      </c>
      <c r="C115" s="916">
        <v>0</v>
      </c>
      <c r="D115" s="916">
        <v>0</v>
      </c>
      <c r="E115" s="916">
        <v>0</v>
      </c>
      <c r="F115" s="916">
        <v>0</v>
      </c>
      <c r="G115" s="916">
        <v>0</v>
      </c>
      <c r="H115" s="916">
        <v>0</v>
      </c>
      <c r="I115" s="916">
        <v>0</v>
      </c>
      <c r="J115" s="916">
        <v>0</v>
      </c>
      <c r="K115" s="916">
        <v>0</v>
      </c>
      <c r="L115" s="916">
        <v>0</v>
      </c>
      <c r="M115" s="916">
        <v>0</v>
      </c>
      <c r="N115" s="916">
        <v>0</v>
      </c>
      <c r="O115" s="916">
        <f t="shared" si="20"/>
        <v>0</v>
      </c>
    </row>
    <row r="116" spans="1:15" hidden="1" x14ac:dyDescent="0.2">
      <c r="A116" s="2">
        <v>3300</v>
      </c>
      <c r="B116" t="s">
        <v>162</v>
      </c>
      <c r="C116" s="916">
        <v>0</v>
      </c>
      <c r="D116" s="916">
        <v>0</v>
      </c>
      <c r="E116" s="916">
        <v>0</v>
      </c>
      <c r="F116" s="916">
        <v>0</v>
      </c>
      <c r="G116" s="916">
        <v>0</v>
      </c>
      <c r="H116" s="916">
        <v>0</v>
      </c>
      <c r="I116" s="916">
        <v>0</v>
      </c>
      <c r="J116" s="916">
        <v>0</v>
      </c>
      <c r="K116" s="916">
        <v>0</v>
      </c>
      <c r="L116" s="916">
        <v>0</v>
      </c>
      <c r="M116" s="916">
        <v>0</v>
      </c>
      <c r="N116" s="916">
        <v>0</v>
      </c>
      <c r="O116" s="916">
        <f t="shared" si="20"/>
        <v>0</v>
      </c>
    </row>
    <row r="117" spans="1:15" hidden="1" x14ac:dyDescent="0.2">
      <c r="A117" s="2">
        <v>4000</v>
      </c>
      <c r="B117" t="s">
        <v>164</v>
      </c>
      <c r="C117" s="916">
        <v>0</v>
      </c>
      <c r="D117" s="916">
        <v>0</v>
      </c>
      <c r="E117" s="916">
        <v>0</v>
      </c>
      <c r="F117" s="916">
        <v>0</v>
      </c>
      <c r="G117" s="916">
        <v>0</v>
      </c>
      <c r="H117" s="916">
        <v>0</v>
      </c>
      <c r="I117" s="916">
        <v>0</v>
      </c>
      <c r="J117" s="916">
        <v>0</v>
      </c>
      <c r="K117" s="916">
        <v>0</v>
      </c>
      <c r="L117" s="916">
        <v>0</v>
      </c>
      <c r="M117" s="916">
        <v>0</v>
      </c>
      <c r="N117" s="916">
        <v>0</v>
      </c>
      <c r="O117" s="916">
        <f t="shared" si="20"/>
        <v>0</v>
      </c>
    </row>
    <row r="118" spans="1:15" x14ac:dyDescent="0.2">
      <c r="A118" s="2">
        <v>4100</v>
      </c>
      <c r="B118" t="s">
        <v>163</v>
      </c>
      <c r="C118" s="916">
        <v>20000</v>
      </c>
      <c r="D118" s="916">
        <v>0</v>
      </c>
      <c r="E118" s="916">
        <v>0</v>
      </c>
      <c r="F118" s="916">
        <v>0</v>
      </c>
      <c r="G118" s="916">
        <v>0</v>
      </c>
      <c r="H118" s="916">
        <v>0</v>
      </c>
      <c r="I118" s="916">
        <v>0</v>
      </c>
      <c r="J118" s="916">
        <v>0</v>
      </c>
      <c r="K118" s="916">
        <v>50000</v>
      </c>
      <c r="L118" s="916">
        <v>0</v>
      </c>
      <c r="M118" s="916">
        <v>0</v>
      </c>
      <c r="N118" s="916">
        <v>0</v>
      </c>
      <c r="O118" s="916">
        <f t="shared" si="20"/>
        <v>70000</v>
      </c>
    </row>
    <row r="119" spans="1:15" hidden="1" x14ac:dyDescent="0.2">
      <c r="A119" s="2">
        <v>4200</v>
      </c>
      <c r="B119" t="s">
        <v>165</v>
      </c>
      <c r="C119" s="916">
        <v>0</v>
      </c>
      <c r="D119" s="916">
        <v>0</v>
      </c>
      <c r="E119" s="916">
        <v>0</v>
      </c>
      <c r="F119" s="916">
        <v>0</v>
      </c>
      <c r="G119" s="916">
        <v>0</v>
      </c>
      <c r="H119" s="916">
        <v>0</v>
      </c>
      <c r="I119" s="916">
        <v>0</v>
      </c>
      <c r="J119" s="916">
        <v>0</v>
      </c>
      <c r="K119" s="916">
        <v>0</v>
      </c>
      <c r="L119" s="916">
        <v>0</v>
      </c>
      <c r="M119" s="916">
        <v>0</v>
      </c>
      <c r="N119" s="916">
        <v>0</v>
      </c>
      <c r="O119" s="916">
        <f t="shared" si="20"/>
        <v>0</v>
      </c>
    </row>
    <row r="120" spans="1:15" hidden="1" x14ac:dyDescent="0.2">
      <c r="A120" s="2">
        <v>4300</v>
      </c>
      <c r="B120" t="s">
        <v>166</v>
      </c>
      <c r="C120" s="916">
        <v>0</v>
      </c>
      <c r="D120" s="916">
        <v>0</v>
      </c>
      <c r="E120" s="916">
        <v>0</v>
      </c>
      <c r="F120" s="916">
        <v>0</v>
      </c>
      <c r="G120" s="916">
        <v>0</v>
      </c>
      <c r="H120" s="916">
        <v>0</v>
      </c>
      <c r="I120" s="916">
        <v>0</v>
      </c>
      <c r="J120" s="916">
        <v>0</v>
      </c>
      <c r="K120" s="916">
        <v>0</v>
      </c>
      <c r="L120" s="916">
        <v>0</v>
      </c>
      <c r="M120" s="916">
        <v>0</v>
      </c>
      <c r="N120" s="916">
        <v>0</v>
      </c>
      <c r="O120" s="916">
        <f t="shared" si="20"/>
        <v>0</v>
      </c>
    </row>
    <row r="121" spans="1:15" hidden="1" x14ac:dyDescent="0.2">
      <c r="A121" s="2">
        <v>4400</v>
      </c>
      <c r="B121" t="s">
        <v>167</v>
      </c>
      <c r="C121" s="916">
        <v>0</v>
      </c>
      <c r="D121" s="916">
        <v>0</v>
      </c>
      <c r="E121" s="916">
        <v>0</v>
      </c>
      <c r="F121" s="916">
        <v>0</v>
      </c>
      <c r="G121" s="916">
        <v>0</v>
      </c>
      <c r="H121" s="916">
        <v>0</v>
      </c>
      <c r="I121" s="916">
        <v>0</v>
      </c>
      <c r="J121" s="916">
        <v>0</v>
      </c>
      <c r="K121" s="916">
        <v>0</v>
      </c>
      <c r="L121" s="916">
        <v>0</v>
      </c>
      <c r="M121" s="916">
        <v>0</v>
      </c>
      <c r="N121" s="916">
        <v>0</v>
      </c>
      <c r="O121" s="916">
        <f t="shared" si="20"/>
        <v>0</v>
      </c>
    </row>
    <row r="122" spans="1:15" hidden="1" x14ac:dyDescent="0.2">
      <c r="A122" s="2">
        <v>4500</v>
      </c>
      <c r="B122" t="s">
        <v>168</v>
      </c>
      <c r="C122" s="916">
        <v>0</v>
      </c>
      <c r="D122" s="916">
        <v>0</v>
      </c>
      <c r="E122" s="916">
        <v>0</v>
      </c>
      <c r="F122" s="916">
        <v>0</v>
      </c>
      <c r="G122" s="916">
        <v>0</v>
      </c>
      <c r="H122" s="916">
        <v>0</v>
      </c>
      <c r="I122" s="916">
        <v>0</v>
      </c>
      <c r="J122" s="916">
        <v>0</v>
      </c>
      <c r="K122" s="916">
        <v>0</v>
      </c>
      <c r="L122" s="916">
        <v>0</v>
      </c>
      <c r="M122" s="916">
        <v>0</v>
      </c>
      <c r="N122" s="916">
        <v>0</v>
      </c>
      <c r="O122" s="916">
        <f t="shared" si="20"/>
        <v>0</v>
      </c>
    </row>
    <row r="123" spans="1:15" x14ac:dyDescent="0.2">
      <c r="A123" s="2">
        <v>4600</v>
      </c>
      <c r="B123" t="s">
        <v>169</v>
      </c>
      <c r="C123" s="916">
        <v>0</v>
      </c>
      <c r="D123" s="916">
        <v>0</v>
      </c>
      <c r="E123" s="916">
        <v>0</v>
      </c>
      <c r="F123" s="916">
        <v>0</v>
      </c>
      <c r="G123" s="916">
        <v>0</v>
      </c>
      <c r="H123" s="916">
        <v>0</v>
      </c>
      <c r="I123" s="916">
        <v>0</v>
      </c>
      <c r="J123" s="916">
        <v>0</v>
      </c>
      <c r="K123" s="916">
        <v>250000</v>
      </c>
      <c r="L123" s="916">
        <v>0</v>
      </c>
      <c r="M123" s="916">
        <v>0</v>
      </c>
      <c r="N123" s="916">
        <v>0</v>
      </c>
      <c r="O123" s="916">
        <f t="shared" si="20"/>
        <v>250000</v>
      </c>
    </row>
    <row r="124" spans="1:15" x14ac:dyDescent="0.2">
      <c r="A124" s="2">
        <v>4700</v>
      </c>
      <c r="B124" t="s">
        <v>170</v>
      </c>
      <c r="C124" s="916">
        <v>0</v>
      </c>
      <c r="D124" s="916">
        <v>0</v>
      </c>
      <c r="E124" s="916">
        <v>0</v>
      </c>
      <c r="F124" s="916">
        <v>0</v>
      </c>
      <c r="G124" s="916">
        <v>0</v>
      </c>
      <c r="H124" s="916">
        <v>0</v>
      </c>
      <c r="I124" s="916">
        <v>0</v>
      </c>
      <c r="J124" s="916">
        <v>0</v>
      </c>
      <c r="K124" s="916">
        <v>251000</v>
      </c>
      <c r="L124" s="916">
        <v>0</v>
      </c>
      <c r="M124" s="916">
        <v>0</v>
      </c>
      <c r="N124" s="916">
        <v>0</v>
      </c>
      <c r="O124" s="916">
        <f t="shared" si="20"/>
        <v>251000</v>
      </c>
    </row>
    <row r="125" spans="1:15" hidden="1" x14ac:dyDescent="0.2">
      <c r="A125" s="2">
        <v>4900</v>
      </c>
      <c r="B125" t="s">
        <v>171</v>
      </c>
      <c r="C125" s="916">
        <v>0</v>
      </c>
      <c r="D125" s="916">
        <v>0</v>
      </c>
      <c r="E125" s="916">
        <v>0</v>
      </c>
      <c r="F125" s="916">
        <v>0</v>
      </c>
      <c r="G125" s="916">
        <v>0</v>
      </c>
      <c r="H125" s="916">
        <v>0</v>
      </c>
      <c r="I125" s="916">
        <v>0</v>
      </c>
      <c r="J125" s="916">
        <v>0</v>
      </c>
      <c r="K125" s="916">
        <v>0</v>
      </c>
      <c r="L125" s="916">
        <v>0</v>
      </c>
      <c r="M125" s="916">
        <v>0</v>
      </c>
      <c r="N125" s="916">
        <v>0</v>
      </c>
      <c r="O125" s="916">
        <f t="shared" si="20"/>
        <v>0</v>
      </c>
    </row>
    <row r="126" spans="1:15" x14ac:dyDescent="0.2">
      <c r="A126" s="2">
        <v>5000</v>
      </c>
      <c r="B126" t="s">
        <v>172</v>
      </c>
      <c r="C126" s="916">
        <v>0</v>
      </c>
      <c r="D126" s="916">
        <v>425000</v>
      </c>
      <c r="E126" s="916">
        <v>0</v>
      </c>
      <c r="F126" s="916">
        <v>0</v>
      </c>
      <c r="G126" s="916">
        <v>0</v>
      </c>
      <c r="H126" s="916">
        <v>0</v>
      </c>
      <c r="I126" s="916">
        <v>0</v>
      </c>
      <c r="J126" s="916">
        <v>0</v>
      </c>
      <c r="K126" s="916">
        <v>0</v>
      </c>
      <c r="L126" s="916">
        <v>0</v>
      </c>
      <c r="M126" s="916">
        <v>0</v>
      </c>
      <c r="N126" s="916">
        <v>0</v>
      </c>
      <c r="O126" s="916">
        <f t="shared" si="20"/>
        <v>425000</v>
      </c>
    </row>
    <row r="127" spans="1:15" hidden="1" x14ac:dyDescent="0.2">
      <c r="A127" s="2">
        <v>5000</v>
      </c>
      <c r="B127" t="s">
        <v>173</v>
      </c>
      <c r="C127" s="916">
        <v>0</v>
      </c>
      <c r="D127" s="916">
        <v>0</v>
      </c>
      <c r="E127" s="916">
        <v>0</v>
      </c>
      <c r="F127" s="916">
        <v>0</v>
      </c>
      <c r="G127" s="916">
        <v>0</v>
      </c>
      <c r="H127" s="916">
        <v>0</v>
      </c>
      <c r="I127" s="916">
        <v>0</v>
      </c>
      <c r="J127" s="916">
        <v>0</v>
      </c>
      <c r="K127" s="916">
        <v>0</v>
      </c>
      <c r="L127" s="916">
        <v>0</v>
      </c>
      <c r="M127" s="916">
        <v>0</v>
      </c>
      <c r="N127" s="916">
        <v>0</v>
      </c>
      <c r="O127" s="916">
        <f t="shared" si="20"/>
        <v>0</v>
      </c>
    </row>
    <row r="128" spans="1:15" hidden="1" x14ac:dyDescent="0.2">
      <c r="A128" s="2">
        <v>6100</v>
      </c>
      <c r="B128" t="s">
        <v>174</v>
      </c>
      <c r="C128" s="916">
        <v>0</v>
      </c>
      <c r="D128" s="916">
        <v>0</v>
      </c>
      <c r="E128" s="916">
        <v>0</v>
      </c>
      <c r="F128" s="916">
        <v>0</v>
      </c>
      <c r="G128" s="916">
        <v>0</v>
      </c>
      <c r="H128" s="916">
        <v>0</v>
      </c>
      <c r="I128" s="916">
        <v>0</v>
      </c>
      <c r="J128" s="916">
        <v>0</v>
      </c>
      <c r="K128" s="916">
        <v>0</v>
      </c>
      <c r="L128" s="916">
        <v>0</v>
      </c>
      <c r="M128" s="916">
        <v>0</v>
      </c>
      <c r="N128" s="916">
        <v>0</v>
      </c>
      <c r="O128" s="916">
        <f t="shared" si="20"/>
        <v>0</v>
      </c>
    </row>
    <row r="129" spans="1:18" x14ac:dyDescent="0.2">
      <c r="A129" s="2">
        <v>6200</v>
      </c>
      <c r="B129" t="s">
        <v>175</v>
      </c>
      <c r="C129" s="916">
        <v>662755</v>
      </c>
      <c r="D129" s="916">
        <v>779552</v>
      </c>
      <c r="E129" s="916">
        <v>0</v>
      </c>
      <c r="F129" s="916">
        <v>0</v>
      </c>
      <c r="G129" s="916">
        <v>0</v>
      </c>
      <c r="H129" s="916">
        <v>0</v>
      </c>
      <c r="I129" s="916">
        <v>0</v>
      </c>
      <c r="J129" s="916">
        <v>0</v>
      </c>
      <c r="K129" s="916">
        <v>0</v>
      </c>
      <c r="L129" s="916">
        <v>0</v>
      </c>
      <c r="M129" s="916">
        <v>0</v>
      </c>
      <c r="N129" s="916">
        <v>0</v>
      </c>
      <c r="O129" s="916">
        <f t="shared" si="20"/>
        <v>1442307</v>
      </c>
    </row>
    <row r="130" spans="1:18" hidden="1" x14ac:dyDescent="0.2">
      <c r="A130" s="2">
        <v>6300</v>
      </c>
      <c r="B130" t="s">
        <v>176</v>
      </c>
      <c r="C130" s="916">
        <v>0</v>
      </c>
      <c r="D130" s="916">
        <v>0</v>
      </c>
      <c r="E130" s="916">
        <v>0</v>
      </c>
      <c r="F130" s="916">
        <v>0</v>
      </c>
      <c r="G130" s="916">
        <v>0</v>
      </c>
      <c r="H130" s="916">
        <v>0</v>
      </c>
      <c r="I130" s="916">
        <v>0</v>
      </c>
      <c r="J130" s="916">
        <v>0</v>
      </c>
      <c r="K130" s="916">
        <v>0</v>
      </c>
      <c r="L130" s="916">
        <v>0</v>
      </c>
      <c r="M130" s="916">
        <v>0</v>
      </c>
      <c r="N130" s="916">
        <v>0</v>
      </c>
      <c r="O130" s="916">
        <f t="shared" si="20"/>
        <v>0</v>
      </c>
    </row>
    <row r="131" spans="1:18" x14ac:dyDescent="0.2">
      <c r="A131" s="2">
        <v>8000</v>
      </c>
      <c r="B131" t="s">
        <v>177</v>
      </c>
      <c r="C131" s="916">
        <v>1899825</v>
      </c>
      <c r="D131" s="916">
        <v>429000</v>
      </c>
      <c r="E131" s="916">
        <v>0</v>
      </c>
      <c r="F131" s="916">
        <v>0</v>
      </c>
      <c r="G131" s="916">
        <v>0</v>
      </c>
      <c r="H131" s="916">
        <v>0</v>
      </c>
      <c r="I131" s="916">
        <v>0</v>
      </c>
      <c r="J131" s="916">
        <v>0</v>
      </c>
      <c r="K131" s="916">
        <v>1526516</v>
      </c>
      <c r="L131" s="916">
        <v>45000</v>
      </c>
      <c r="M131" s="916">
        <v>0</v>
      </c>
      <c r="N131" s="916">
        <v>0</v>
      </c>
      <c r="O131" s="916">
        <f t="shared" si="20"/>
        <v>3900341</v>
      </c>
    </row>
    <row r="132" spans="1:18" x14ac:dyDescent="0.2">
      <c r="C132" s="916"/>
      <c r="D132" s="916"/>
      <c r="E132" s="916"/>
      <c r="F132" s="916"/>
      <c r="G132" s="916"/>
      <c r="H132" s="916"/>
      <c r="I132" s="916"/>
      <c r="J132" s="916"/>
      <c r="K132" s="916"/>
      <c r="L132" s="916"/>
      <c r="M132" s="916"/>
      <c r="N132" s="916"/>
      <c r="O132" s="916"/>
    </row>
    <row r="133" spans="1:18" s="2" customFormat="1" x14ac:dyDescent="0.2">
      <c r="A133" s="53"/>
      <c r="B133" s="2" t="s">
        <v>308</v>
      </c>
      <c r="C133" s="931"/>
      <c r="D133" s="931"/>
      <c r="E133" s="931"/>
      <c r="F133" s="931"/>
      <c r="G133" s="931"/>
      <c r="H133" s="931"/>
      <c r="I133" s="931"/>
      <c r="J133" s="931"/>
      <c r="K133" s="931"/>
      <c r="L133" s="931"/>
      <c r="M133" s="931"/>
      <c r="N133" s="931"/>
      <c r="O133" s="931"/>
      <c r="R133" s="520"/>
    </row>
    <row r="134" spans="1:18" hidden="1" x14ac:dyDescent="0.2">
      <c r="B134" t="s">
        <v>179</v>
      </c>
      <c r="C134" s="916">
        <v>0</v>
      </c>
      <c r="D134" s="916">
        <v>0</v>
      </c>
      <c r="E134" s="916">
        <v>0</v>
      </c>
      <c r="F134" s="916">
        <v>0</v>
      </c>
      <c r="G134" s="916">
        <v>0</v>
      </c>
      <c r="H134" s="916">
        <v>0</v>
      </c>
      <c r="I134" s="916">
        <v>0</v>
      </c>
      <c r="J134" s="916">
        <v>0</v>
      </c>
      <c r="K134" s="916">
        <v>0</v>
      </c>
      <c r="L134" s="916">
        <v>0</v>
      </c>
      <c r="M134" s="916">
        <v>0</v>
      </c>
      <c r="N134" s="916">
        <v>0</v>
      </c>
      <c r="O134" s="916">
        <f t="shared" ref="O134:O197" si="21">SUM(C134:N134)</f>
        <v>0</v>
      </c>
      <c r="R134" s="53"/>
    </row>
    <row r="135" spans="1:18" hidden="1" x14ac:dyDescent="0.2">
      <c r="B135" t="s">
        <v>145</v>
      </c>
      <c r="C135" s="916">
        <v>0</v>
      </c>
      <c r="D135" s="916">
        <v>0</v>
      </c>
      <c r="E135" s="916">
        <v>0</v>
      </c>
      <c r="F135" s="916">
        <v>0</v>
      </c>
      <c r="G135" s="916">
        <v>0</v>
      </c>
      <c r="H135" s="916">
        <v>0</v>
      </c>
      <c r="I135" s="916">
        <v>0</v>
      </c>
      <c r="J135" s="916">
        <v>0</v>
      </c>
      <c r="K135" s="916">
        <v>0</v>
      </c>
      <c r="L135" s="916">
        <v>0</v>
      </c>
      <c r="M135" s="916">
        <v>0</v>
      </c>
      <c r="N135" s="916">
        <v>0</v>
      </c>
      <c r="O135" s="916">
        <f t="shared" si="21"/>
        <v>0</v>
      </c>
    </row>
    <row r="136" spans="1:18" hidden="1" x14ac:dyDescent="0.2">
      <c r="B136" t="s">
        <v>180</v>
      </c>
      <c r="C136" s="916">
        <v>0</v>
      </c>
      <c r="D136" s="916">
        <v>0</v>
      </c>
      <c r="E136" s="916">
        <v>0</v>
      </c>
      <c r="F136" s="916">
        <v>0</v>
      </c>
      <c r="G136" s="916">
        <v>0</v>
      </c>
      <c r="H136" s="916">
        <v>0</v>
      </c>
      <c r="I136" s="916">
        <v>0</v>
      </c>
      <c r="J136" s="916">
        <v>0</v>
      </c>
      <c r="K136" s="916">
        <v>0</v>
      </c>
      <c r="L136" s="916">
        <v>0</v>
      </c>
      <c r="M136" s="916">
        <v>0</v>
      </c>
      <c r="N136" s="916">
        <v>0</v>
      </c>
      <c r="O136" s="916">
        <f t="shared" si="21"/>
        <v>0</v>
      </c>
    </row>
    <row r="137" spans="1:18" hidden="1" x14ac:dyDescent="0.2">
      <c r="B137" t="s">
        <v>181</v>
      </c>
      <c r="C137" s="916">
        <v>0</v>
      </c>
      <c r="D137" s="916">
        <v>0</v>
      </c>
      <c r="E137" s="916">
        <v>0</v>
      </c>
      <c r="F137" s="916">
        <v>0</v>
      </c>
      <c r="G137" s="916">
        <v>0</v>
      </c>
      <c r="H137" s="916">
        <v>0</v>
      </c>
      <c r="I137" s="916">
        <v>0</v>
      </c>
      <c r="J137" s="916">
        <v>0</v>
      </c>
      <c r="K137" s="916">
        <v>0</v>
      </c>
      <c r="L137" s="916">
        <v>0</v>
      </c>
      <c r="M137" s="916">
        <v>0</v>
      </c>
      <c r="N137" s="916">
        <v>0</v>
      </c>
      <c r="O137" s="916">
        <f t="shared" si="21"/>
        <v>0</v>
      </c>
    </row>
    <row r="138" spans="1:18" hidden="1" x14ac:dyDescent="0.2">
      <c r="B138" t="s">
        <v>182</v>
      </c>
      <c r="C138" s="916">
        <v>0</v>
      </c>
      <c r="D138" s="916">
        <v>0</v>
      </c>
      <c r="E138" s="916">
        <v>0</v>
      </c>
      <c r="F138" s="916">
        <v>0</v>
      </c>
      <c r="G138" s="916">
        <v>0</v>
      </c>
      <c r="H138" s="916">
        <v>0</v>
      </c>
      <c r="I138" s="916">
        <v>0</v>
      </c>
      <c r="J138" s="916">
        <v>0</v>
      </c>
      <c r="K138" s="916">
        <v>0</v>
      </c>
      <c r="L138" s="916">
        <v>0</v>
      </c>
      <c r="M138" s="916">
        <v>0</v>
      </c>
      <c r="N138" s="916">
        <v>0</v>
      </c>
      <c r="O138" s="916">
        <f t="shared" si="21"/>
        <v>0</v>
      </c>
    </row>
    <row r="139" spans="1:18" hidden="1" x14ac:dyDescent="0.2">
      <c r="B139" t="s">
        <v>183</v>
      </c>
      <c r="C139" s="916">
        <v>0</v>
      </c>
      <c r="D139" s="916">
        <v>0</v>
      </c>
      <c r="E139" s="916">
        <v>0</v>
      </c>
      <c r="F139" s="916">
        <v>0</v>
      </c>
      <c r="G139" s="916">
        <v>0</v>
      </c>
      <c r="H139" s="916">
        <v>0</v>
      </c>
      <c r="I139" s="916">
        <v>0</v>
      </c>
      <c r="J139" s="916">
        <v>0</v>
      </c>
      <c r="K139" s="916">
        <v>0</v>
      </c>
      <c r="L139" s="916">
        <v>0</v>
      </c>
      <c r="M139" s="916">
        <v>0</v>
      </c>
      <c r="N139" s="916">
        <v>0</v>
      </c>
      <c r="O139" s="916">
        <f t="shared" si="21"/>
        <v>0</v>
      </c>
    </row>
    <row r="140" spans="1:18" hidden="1" x14ac:dyDescent="0.2">
      <c r="B140" t="s">
        <v>184</v>
      </c>
      <c r="C140" s="916">
        <v>0</v>
      </c>
      <c r="D140" s="916">
        <v>0</v>
      </c>
      <c r="E140" s="916">
        <v>0</v>
      </c>
      <c r="F140" s="916">
        <v>0</v>
      </c>
      <c r="G140" s="916">
        <v>0</v>
      </c>
      <c r="H140" s="916">
        <v>0</v>
      </c>
      <c r="I140" s="916">
        <v>0</v>
      </c>
      <c r="J140" s="916">
        <v>0</v>
      </c>
      <c r="K140" s="916">
        <v>0</v>
      </c>
      <c r="L140" s="916">
        <v>0</v>
      </c>
      <c r="M140" s="916">
        <v>0</v>
      </c>
      <c r="N140" s="916">
        <v>0</v>
      </c>
      <c r="O140" s="916">
        <f t="shared" si="21"/>
        <v>0</v>
      </c>
    </row>
    <row r="141" spans="1:18" hidden="1" x14ac:dyDescent="0.2">
      <c r="B141" t="s">
        <v>185</v>
      </c>
      <c r="C141" s="916">
        <v>0</v>
      </c>
      <c r="D141" s="916">
        <v>0</v>
      </c>
      <c r="E141" s="916">
        <v>0</v>
      </c>
      <c r="F141" s="916">
        <v>0</v>
      </c>
      <c r="G141" s="916">
        <v>0</v>
      </c>
      <c r="H141" s="916">
        <v>0</v>
      </c>
      <c r="I141" s="916">
        <v>0</v>
      </c>
      <c r="J141" s="916">
        <v>0</v>
      </c>
      <c r="K141" s="916">
        <v>0</v>
      </c>
      <c r="L141" s="916">
        <v>0</v>
      </c>
      <c r="M141" s="916">
        <v>0</v>
      </c>
      <c r="N141" s="916">
        <v>0</v>
      </c>
      <c r="O141" s="916">
        <f t="shared" si="21"/>
        <v>0</v>
      </c>
    </row>
    <row r="142" spans="1:18" hidden="1" x14ac:dyDescent="0.2">
      <c r="B142" t="s">
        <v>186</v>
      </c>
      <c r="C142" s="916">
        <v>0</v>
      </c>
      <c r="D142" s="916">
        <v>0</v>
      </c>
      <c r="E142" s="916">
        <v>0</v>
      </c>
      <c r="F142" s="916">
        <v>0</v>
      </c>
      <c r="G142" s="916">
        <v>0</v>
      </c>
      <c r="H142" s="916">
        <v>0</v>
      </c>
      <c r="I142" s="916">
        <v>0</v>
      </c>
      <c r="J142" s="916">
        <v>0</v>
      </c>
      <c r="K142" s="916">
        <v>0</v>
      </c>
      <c r="L142" s="916">
        <v>0</v>
      </c>
      <c r="M142" s="916">
        <v>0</v>
      </c>
      <c r="N142" s="916">
        <v>0</v>
      </c>
      <c r="O142" s="916">
        <f t="shared" si="21"/>
        <v>0</v>
      </c>
    </row>
    <row r="143" spans="1:18" hidden="1" x14ac:dyDescent="0.2">
      <c r="B143" t="s">
        <v>187</v>
      </c>
      <c r="C143" s="916">
        <v>0</v>
      </c>
      <c r="D143" s="916">
        <v>0</v>
      </c>
      <c r="E143" s="916">
        <v>0</v>
      </c>
      <c r="F143" s="916">
        <v>0</v>
      </c>
      <c r="G143" s="916">
        <v>0</v>
      </c>
      <c r="H143" s="916">
        <v>0</v>
      </c>
      <c r="I143" s="916">
        <v>0</v>
      </c>
      <c r="J143" s="916">
        <v>0</v>
      </c>
      <c r="K143" s="916">
        <v>0</v>
      </c>
      <c r="L143" s="916">
        <v>0</v>
      </c>
      <c r="M143" s="916">
        <v>0</v>
      </c>
      <c r="N143" s="916">
        <v>0</v>
      </c>
      <c r="O143" s="916">
        <f t="shared" si="21"/>
        <v>0</v>
      </c>
    </row>
    <row r="144" spans="1:18" hidden="1" x14ac:dyDescent="0.2">
      <c r="B144" t="s">
        <v>188</v>
      </c>
      <c r="C144" s="916">
        <v>0</v>
      </c>
      <c r="D144" s="916">
        <v>0</v>
      </c>
      <c r="E144" s="916">
        <v>0</v>
      </c>
      <c r="F144" s="916">
        <v>0</v>
      </c>
      <c r="G144" s="916">
        <v>0</v>
      </c>
      <c r="H144" s="916">
        <v>0</v>
      </c>
      <c r="I144" s="916">
        <v>0</v>
      </c>
      <c r="J144" s="916">
        <v>0</v>
      </c>
      <c r="K144" s="916">
        <v>0</v>
      </c>
      <c r="L144" s="916">
        <v>0</v>
      </c>
      <c r="M144" s="916">
        <v>0</v>
      </c>
      <c r="N144" s="916">
        <v>0</v>
      </c>
      <c r="O144" s="916">
        <f t="shared" si="21"/>
        <v>0</v>
      </c>
    </row>
    <row r="145" spans="2:17" hidden="1" x14ac:dyDescent="0.2">
      <c r="B145" t="s">
        <v>189</v>
      </c>
      <c r="C145" s="916">
        <v>0</v>
      </c>
      <c r="D145" s="916">
        <v>0</v>
      </c>
      <c r="E145" s="916">
        <v>0</v>
      </c>
      <c r="F145" s="916">
        <v>0</v>
      </c>
      <c r="G145" s="916">
        <v>0</v>
      </c>
      <c r="H145" s="916">
        <v>0</v>
      </c>
      <c r="I145" s="916">
        <v>0</v>
      </c>
      <c r="J145" s="916">
        <v>0</v>
      </c>
      <c r="K145" s="916">
        <v>0</v>
      </c>
      <c r="L145" s="916">
        <v>0</v>
      </c>
      <c r="M145" s="916">
        <v>0</v>
      </c>
      <c r="N145" s="916">
        <v>0</v>
      </c>
      <c r="O145" s="916">
        <f t="shared" si="21"/>
        <v>0</v>
      </c>
    </row>
    <row r="146" spans="2:17" hidden="1" x14ac:dyDescent="0.2">
      <c r="B146" t="s">
        <v>190</v>
      </c>
      <c r="C146" s="916">
        <v>0</v>
      </c>
      <c r="D146" s="916">
        <v>0</v>
      </c>
      <c r="E146" s="916">
        <v>0</v>
      </c>
      <c r="F146" s="916">
        <v>0</v>
      </c>
      <c r="G146" s="916">
        <v>0</v>
      </c>
      <c r="H146" s="916">
        <v>0</v>
      </c>
      <c r="I146" s="916">
        <v>0</v>
      </c>
      <c r="J146" s="916">
        <v>0</v>
      </c>
      <c r="K146" s="916">
        <v>0</v>
      </c>
      <c r="L146" s="916">
        <v>0</v>
      </c>
      <c r="M146" s="916">
        <v>0</v>
      </c>
      <c r="N146" s="916">
        <v>0</v>
      </c>
      <c r="O146" s="916">
        <f t="shared" si="21"/>
        <v>0</v>
      </c>
    </row>
    <row r="147" spans="2:17" hidden="1" x14ac:dyDescent="0.2">
      <c r="B147" t="s">
        <v>191</v>
      </c>
      <c r="C147" s="916">
        <v>0</v>
      </c>
      <c r="D147" s="916">
        <v>0</v>
      </c>
      <c r="E147" s="916">
        <v>0</v>
      </c>
      <c r="F147" s="916">
        <v>0</v>
      </c>
      <c r="G147" s="916">
        <v>0</v>
      </c>
      <c r="H147" s="916">
        <v>0</v>
      </c>
      <c r="I147" s="916">
        <v>0</v>
      </c>
      <c r="J147" s="916">
        <v>0</v>
      </c>
      <c r="K147" s="916">
        <v>0</v>
      </c>
      <c r="L147" s="916">
        <v>0</v>
      </c>
      <c r="M147" s="916">
        <v>0</v>
      </c>
      <c r="N147" s="916">
        <v>0</v>
      </c>
      <c r="O147" s="916">
        <f t="shared" si="21"/>
        <v>0</v>
      </c>
      <c r="Q147" t="s">
        <v>734</v>
      </c>
    </row>
    <row r="148" spans="2:17" hidden="1" x14ac:dyDescent="0.2">
      <c r="B148" t="s">
        <v>192</v>
      </c>
      <c r="C148" s="916">
        <v>0</v>
      </c>
      <c r="D148" s="916">
        <v>0</v>
      </c>
      <c r="E148" s="916">
        <v>0</v>
      </c>
      <c r="F148" s="916">
        <v>0</v>
      </c>
      <c r="G148" s="916">
        <v>0</v>
      </c>
      <c r="H148" s="916">
        <v>0</v>
      </c>
      <c r="I148" s="916">
        <v>0</v>
      </c>
      <c r="J148" s="916">
        <v>0</v>
      </c>
      <c r="K148" s="916">
        <v>0</v>
      </c>
      <c r="L148" s="916">
        <v>0</v>
      </c>
      <c r="M148" s="916">
        <v>0</v>
      </c>
      <c r="N148" s="916">
        <v>0</v>
      </c>
      <c r="O148" s="916">
        <f t="shared" si="21"/>
        <v>0</v>
      </c>
    </row>
    <row r="149" spans="2:17" hidden="1" x14ac:dyDescent="0.2">
      <c r="B149" t="s">
        <v>193</v>
      </c>
      <c r="C149" s="916">
        <v>0</v>
      </c>
      <c r="D149" s="916">
        <v>0</v>
      </c>
      <c r="E149" s="916">
        <v>0</v>
      </c>
      <c r="F149" s="916">
        <v>0</v>
      </c>
      <c r="G149" s="916">
        <v>0</v>
      </c>
      <c r="H149" s="916">
        <v>0</v>
      </c>
      <c r="I149" s="916">
        <v>0</v>
      </c>
      <c r="J149" s="916">
        <v>0</v>
      </c>
      <c r="K149" s="916">
        <v>0</v>
      </c>
      <c r="L149" s="916">
        <v>0</v>
      </c>
      <c r="M149" s="916">
        <v>0</v>
      </c>
      <c r="N149" s="916">
        <v>0</v>
      </c>
      <c r="O149" s="916">
        <f t="shared" si="21"/>
        <v>0</v>
      </c>
    </row>
    <row r="150" spans="2:17" hidden="1" x14ac:dyDescent="0.2">
      <c r="B150" t="s">
        <v>194</v>
      </c>
      <c r="C150" s="916">
        <v>0</v>
      </c>
      <c r="D150" s="916">
        <v>0</v>
      </c>
      <c r="E150" s="916">
        <v>0</v>
      </c>
      <c r="F150" s="916">
        <v>0</v>
      </c>
      <c r="G150" s="916">
        <v>0</v>
      </c>
      <c r="H150" s="916">
        <v>0</v>
      </c>
      <c r="I150" s="916">
        <v>0</v>
      </c>
      <c r="J150" s="916">
        <v>0</v>
      </c>
      <c r="K150" s="916">
        <v>0</v>
      </c>
      <c r="L150" s="916">
        <v>0</v>
      </c>
      <c r="M150" s="916">
        <v>0</v>
      </c>
      <c r="N150" s="916">
        <v>0</v>
      </c>
      <c r="O150" s="916">
        <f t="shared" si="21"/>
        <v>0</v>
      </c>
    </row>
    <row r="151" spans="2:17" hidden="1" x14ac:dyDescent="0.2">
      <c r="B151" t="s">
        <v>195</v>
      </c>
      <c r="C151" s="916">
        <v>0</v>
      </c>
      <c r="D151" s="916">
        <v>0</v>
      </c>
      <c r="E151" s="916">
        <v>0</v>
      </c>
      <c r="F151" s="916">
        <v>0</v>
      </c>
      <c r="G151" s="916">
        <v>0</v>
      </c>
      <c r="H151" s="916">
        <v>0</v>
      </c>
      <c r="I151" s="916">
        <v>0</v>
      </c>
      <c r="J151" s="916">
        <v>0</v>
      </c>
      <c r="K151" s="916">
        <v>0</v>
      </c>
      <c r="L151" s="916">
        <v>0</v>
      </c>
      <c r="M151" s="916">
        <v>0</v>
      </c>
      <c r="N151" s="916">
        <v>0</v>
      </c>
      <c r="O151" s="916">
        <f t="shared" si="21"/>
        <v>0</v>
      </c>
    </row>
    <row r="152" spans="2:17" hidden="1" x14ac:dyDescent="0.2">
      <c r="B152" t="s">
        <v>196</v>
      </c>
      <c r="C152" s="916">
        <v>0</v>
      </c>
      <c r="D152" s="916">
        <v>0</v>
      </c>
      <c r="E152" s="916">
        <v>0</v>
      </c>
      <c r="F152" s="916">
        <v>0</v>
      </c>
      <c r="G152" s="916">
        <v>0</v>
      </c>
      <c r="H152" s="916">
        <v>0</v>
      </c>
      <c r="I152" s="916">
        <v>0</v>
      </c>
      <c r="J152" s="916">
        <v>0</v>
      </c>
      <c r="K152" s="916">
        <v>0</v>
      </c>
      <c r="L152" s="916">
        <v>0</v>
      </c>
      <c r="M152" s="916">
        <v>0</v>
      </c>
      <c r="N152" s="916">
        <v>0</v>
      </c>
      <c r="O152" s="916">
        <f t="shared" si="21"/>
        <v>0</v>
      </c>
    </row>
    <row r="153" spans="2:17" hidden="1" x14ac:dyDescent="0.2">
      <c r="B153" t="s">
        <v>197</v>
      </c>
      <c r="C153" s="916">
        <v>0</v>
      </c>
      <c r="D153" s="916">
        <v>0</v>
      </c>
      <c r="E153" s="916">
        <v>0</v>
      </c>
      <c r="F153" s="916">
        <v>0</v>
      </c>
      <c r="G153" s="916">
        <v>0</v>
      </c>
      <c r="H153" s="916">
        <v>0</v>
      </c>
      <c r="I153" s="916">
        <v>0</v>
      </c>
      <c r="J153" s="916">
        <v>0</v>
      </c>
      <c r="K153" s="916">
        <v>0</v>
      </c>
      <c r="L153" s="916">
        <v>0</v>
      </c>
      <c r="M153" s="916">
        <v>0</v>
      </c>
      <c r="N153" s="916">
        <v>0</v>
      </c>
      <c r="O153" s="916">
        <f t="shared" si="21"/>
        <v>0</v>
      </c>
    </row>
    <row r="154" spans="2:17" hidden="1" x14ac:dyDescent="0.2">
      <c r="B154" t="s">
        <v>198</v>
      </c>
      <c r="C154" s="916">
        <v>0</v>
      </c>
      <c r="D154" s="916">
        <v>0</v>
      </c>
      <c r="E154" s="916">
        <v>0</v>
      </c>
      <c r="F154" s="916">
        <v>0</v>
      </c>
      <c r="G154" s="916">
        <v>0</v>
      </c>
      <c r="H154" s="916">
        <v>0</v>
      </c>
      <c r="I154" s="916">
        <v>0</v>
      </c>
      <c r="J154" s="916">
        <v>0</v>
      </c>
      <c r="K154" s="916">
        <v>0</v>
      </c>
      <c r="L154" s="916">
        <v>0</v>
      </c>
      <c r="M154" s="916">
        <v>0</v>
      </c>
      <c r="N154" s="916">
        <v>0</v>
      </c>
      <c r="O154" s="916">
        <f t="shared" si="21"/>
        <v>0</v>
      </c>
    </row>
    <row r="155" spans="2:17" hidden="1" x14ac:dyDescent="0.2">
      <c r="B155" t="s">
        <v>199</v>
      </c>
      <c r="C155" s="916">
        <v>0</v>
      </c>
      <c r="D155" s="916">
        <v>0</v>
      </c>
      <c r="E155" s="916">
        <v>0</v>
      </c>
      <c r="F155" s="916">
        <v>0</v>
      </c>
      <c r="G155" s="916">
        <v>0</v>
      </c>
      <c r="H155" s="916">
        <v>0</v>
      </c>
      <c r="I155" s="916">
        <v>0</v>
      </c>
      <c r="J155" s="916">
        <v>0</v>
      </c>
      <c r="K155" s="916">
        <v>0</v>
      </c>
      <c r="L155" s="916">
        <v>0</v>
      </c>
      <c r="M155" s="916">
        <v>0</v>
      </c>
      <c r="N155" s="916">
        <v>0</v>
      </c>
      <c r="O155" s="916">
        <f t="shared" si="21"/>
        <v>0</v>
      </c>
    </row>
    <row r="156" spans="2:17" hidden="1" x14ac:dyDescent="0.2">
      <c r="B156" t="s">
        <v>200</v>
      </c>
      <c r="C156" s="916">
        <v>0</v>
      </c>
      <c r="D156" s="916">
        <v>0</v>
      </c>
      <c r="E156" s="916">
        <v>0</v>
      </c>
      <c r="F156" s="916">
        <v>0</v>
      </c>
      <c r="G156" s="916">
        <v>0</v>
      </c>
      <c r="H156" s="916">
        <v>0</v>
      </c>
      <c r="I156" s="916">
        <v>0</v>
      </c>
      <c r="J156" s="916">
        <v>0</v>
      </c>
      <c r="K156" s="916">
        <v>0</v>
      </c>
      <c r="L156" s="916">
        <v>0</v>
      </c>
      <c r="M156" s="916">
        <v>0</v>
      </c>
      <c r="N156" s="916">
        <v>0</v>
      </c>
      <c r="O156" s="916">
        <f t="shared" si="21"/>
        <v>0</v>
      </c>
    </row>
    <row r="157" spans="2:17" hidden="1" x14ac:dyDescent="0.2">
      <c r="B157" t="s">
        <v>201</v>
      </c>
      <c r="C157" s="916">
        <v>0</v>
      </c>
      <c r="D157" s="916">
        <v>0</v>
      </c>
      <c r="E157" s="916">
        <v>0</v>
      </c>
      <c r="F157" s="916">
        <v>0</v>
      </c>
      <c r="G157" s="916">
        <v>0</v>
      </c>
      <c r="H157" s="916">
        <v>0</v>
      </c>
      <c r="I157" s="916">
        <v>0</v>
      </c>
      <c r="J157" s="916">
        <v>0</v>
      </c>
      <c r="K157" s="916">
        <v>0</v>
      </c>
      <c r="L157" s="916">
        <v>0</v>
      </c>
      <c r="M157" s="916">
        <v>0</v>
      </c>
      <c r="N157" s="916">
        <v>0</v>
      </c>
      <c r="O157" s="916">
        <f t="shared" si="21"/>
        <v>0</v>
      </c>
    </row>
    <row r="158" spans="2:17" hidden="1" x14ac:dyDescent="0.2">
      <c r="B158" t="s">
        <v>202</v>
      </c>
      <c r="C158" s="916">
        <v>0</v>
      </c>
      <c r="D158" s="916">
        <v>0</v>
      </c>
      <c r="E158" s="916">
        <v>0</v>
      </c>
      <c r="F158" s="916">
        <v>0</v>
      </c>
      <c r="G158" s="916">
        <v>0</v>
      </c>
      <c r="H158" s="916">
        <v>0</v>
      </c>
      <c r="I158" s="916">
        <v>0</v>
      </c>
      <c r="J158" s="916">
        <v>0</v>
      </c>
      <c r="K158" s="916">
        <v>0</v>
      </c>
      <c r="L158" s="916">
        <v>0</v>
      </c>
      <c r="M158" s="916">
        <v>0</v>
      </c>
      <c r="N158" s="916">
        <v>0</v>
      </c>
      <c r="O158" s="916">
        <f t="shared" si="21"/>
        <v>0</v>
      </c>
    </row>
    <row r="159" spans="2:17" hidden="1" x14ac:dyDescent="0.2">
      <c r="B159" t="s">
        <v>203</v>
      </c>
      <c r="C159" s="916">
        <v>0</v>
      </c>
      <c r="D159" s="916">
        <v>0</v>
      </c>
      <c r="E159" s="916">
        <v>0</v>
      </c>
      <c r="F159" s="916">
        <v>0</v>
      </c>
      <c r="G159" s="916">
        <v>0</v>
      </c>
      <c r="H159" s="916">
        <v>0</v>
      </c>
      <c r="I159" s="916">
        <v>0</v>
      </c>
      <c r="J159" s="916">
        <v>0</v>
      </c>
      <c r="K159" s="916">
        <v>0</v>
      </c>
      <c r="L159" s="916">
        <v>0</v>
      </c>
      <c r="M159" s="916">
        <v>0</v>
      </c>
      <c r="N159" s="916">
        <v>0</v>
      </c>
      <c r="O159" s="916">
        <f t="shared" si="21"/>
        <v>0</v>
      </c>
    </row>
    <row r="160" spans="2:17" hidden="1" x14ac:dyDescent="0.2">
      <c r="B160" t="s">
        <v>204</v>
      </c>
      <c r="C160" s="916">
        <v>0</v>
      </c>
      <c r="D160" s="916">
        <v>0</v>
      </c>
      <c r="E160" s="916">
        <v>0</v>
      </c>
      <c r="F160" s="916">
        <v>0</v>
      </c>
      <c r="G160" s="916">
        <v>0</v>
      </c>
      <c r="H160" s="916">
        <v>0</v>
      </c>
      <c r="I160" s="916">
        <v>0</v>
      </c>
      <c r="J160" s="916">
        <v>0</v>
      </c>
      <c r="K160" s="916">
        <v>0</v>
      </c>
      <c r="L160" s="916">
        <v>0</v>
      </c>
      <c r="M160" s="916">
        <v>0</v>
      </c>
      <c r="N160" s="916">
        <v>0</v>
      </c>
      <c r="O160" s="916">
        <f t="shared" si="21"/>
        <v>0</v>
      </c>
    </row>
    <row r="161" spans="2:15" hidden="1" x14ac:dyDescent="0.2">
      <c r="B161" t="s">
        <v>205</v>
      </c>
      <c r="C161" s="916">
        <v>0</v>
      </c>
      <c r="D161" s="916">
        <v>0</v>
      </c>
      <c r="E161" s="916">
        <v>0</v>
      </c>
      <c r="F161" s="916">
        <v>0</v>
      </c>
      <c r="G161" s="916">
        <v>0</v>
      </c>
      <c r="H161" s="916">
        <v>0</v>
      </c>
      <c r="I161" s="916">
        <v>0</v>
      </c>
      <c r="J161" s="916">
        <v>0</v>
      </c>
      <c r="K161" s="916">
        <v>0</v>
      </c>
      <c r="L161" s="916">
        <v>0</v>
      </c>
      <c r="M161" s="916">
        <v>0</v>
      </c>
      <c r="N161" s="916">
        <v>0</v>
      </c>
      <c r="O161" s="916">
        <f t="shared" si="21"/>
        <v>0</v>
      </c>
    </row>
    <row r="162" spans="2:15" x14ac:dyDescent="0.2">
      <c r="B162" t="s">
        <v>206</v>
      </c>
      <c r="C162" s="916">
        <v>0</v>
      </c>
      <c r="D162" s="916">
        <v>0</v>
      </c>
      <c r="E162" s="916">
        <v>0</v>
      </c>
      <c r="F162" s="916">
        <v>0</v>
      </c>
      <c r="G162" s="916">
        <v>0</v>
      </c>
      <c r="H162" s="916">
        <v>0</v>
      </c>
      <c r="I162" s="916">
        <v>0</v>
      </c>
      <c r="J162" s="916">
        <v>0</v>
      </c>
      <c r="K162" s="916">
        <v>0</v>
      </c>
      <c r="L162" s="916">
        <v>0</v>
      </c>
      <c r="M162" s="916">
        <v>0</v>
      </c>
      <c r="N162" s="916">
        <v>-60175</v>
      </c>
      <c r="O162" s="916">
        <f t="shared" si="21"/>
        <v>-60175</v>
      </c>
    </row>
    <row r="163" spans="2:15" hidden="1" x14ac:dyDescent="0.2">
      <c r="B163" t="s">
        <v>207</v>
      </c>
      <c r="C163" s="916">
        <v>0</v>
      </c>
      <c r="D163" s="916">
        <v>0</v>
      </c>
      <c r="E163" s="916">
        <v>0</v>
      </c>
      <c r="F163" s="916">
        <v>0</v>
      </c>
      <c r="G163" s="916">
        <v>0</v>
      </c>
      <c r="H163" s="916">
        <v>0</v>
      </c>
      <c r="I163" s="916">
        <v>0</v>
      </c>
      <c r="J163" s="916">
        <v>0</v>
      </c>
      <c r="K163" s="916">
        <v>0</v>
      </c>
      <c r="L163" s="916">
        <v>0</v>
      </c>
      <c r="M163" s="916">
        <v>0</v>
      </c>
      <c r="N163" s="916">
        <v>0</v>
      </c>
      <c r="O163" s="916">
        <f t="shared" si="21"/>
        <v>0</v>
      </c>
    </row>
    <row r="164" spans="2:15" hidden="1" x14ac:dyDescent="0.2">
      <c r="B164" t="s">
        <v>208</v>
      </c>
      <c r="C164" s="916">
        <v>0</v>
      </c>
      <c r="D164" s="916">
        <v>0</v>
      </c>
      <c r="E164" s="916">
        <v>0</v>
      </c>
      <c r="F164" s="916">
        <v>0</v>
      </c>
      <c r="G164" s="916">
        <v>0</v>
      </c>
      <c r="H164" s="916">
        <v>0</v>
      </c>
      <c r="I164" s="916">
        <v>0</v>
      </c>
      <c r="J164" s="916">
        <v>0</v>
      </c>
      <c r="K164" s="916">
        <v>0</v>
      </c>
      <c r="L164" s="916">
        <v>0</v>
      </c>
      <c r="M164" s="916">
        <v>0</v>
      </c>
      <c r="N164" s="916">
        <v>0</v>
      </c>
      <c r="O164" s="916">
        <f t="shared" si="21"/>
        <v>0</v>
      </c>
    </row>
    <row r="165" spans="2:15" hidden="1" x14ac:dyDescent="0.2">
      <c r="B165" t="s">
        <v>209</v>
      </c>
      <c r="C165" s="916">
        <v>0</v>
      </c>
      <c r="D165" s="916">
        <v>0</v>
      </c>
      <c r="E165" s="916">
        <v>0</v>
      </c>
      <c r="F165" s="916">
        <v>0</v>
      </c>
      <c r="G165" s="916">
        <v>0</v>
      </c>
      <c r="H165" s="916">
        <v>0</v>
      </c>
      <c r="I165" s="916">
        <v>0</v>
      </c>
      <c r="J165" s="916">
        <v>0</v>
      </c>
      <c r="K165" s="916">
        <v>0</v>
      </c>
      <c r="L165" s="916">
        <v>0</v>
      </c>
      <c r="M165" s="916">
        <v>0</v>
      </c>
      <c r="N165" s="916">
        <v>0</v>
      </c>
      <c r="O165" s="916">
        <f t="shared" si="21"/>
        <v>0</v>
      </c>
    </row>
    <row r="166" spans="2:15" hidden="1" x14ac:dyDescent="0.2">
      <c r="B166" t="s">
        <v>210</v>
      </c>
      <c r="C166" s="916">
        <v>0</v>
      </c>
      <c r="D166" s="916">
        <v>0</v>
      </c>
      <c r="E166" s="916">
        <v>0</v>
      </c>
      <c r="F166" s="916">
        <v>0</v>
      </c>
      <c r="G166" s="916">
        <v>0</v>
      </c>
      <c r="H166" s="916">
        <v>0</v>
      </c>
      <c r="I166" s="916">
        <v>0</v>
      </c>
      <c r="J166" s="916">
        <v>0</v>
      </c>
      <c r="K166" s="916">
        <v>0</v>
      </c>
      <c r="L166" s="916">
        <v>0</v>
      </c>
      <c r="M166" s="916">
        <v>0</v>
      </c>
      <c r="N166" s="916">
        <v>0</v>
      </c>
      <c r="O166" s="916">
        <f t="shared" si="21"/>
        <v>0</v>
      </c>
    </row>
    <row r="167" spans="2:15" hidden="1" x14ac:dyDescent="0.2">
      <c r="B167" t="s">
        <v>211</v>
      </c>
      <c r="C167" s="916">
        <v>0</v>
      </c>
      <c r="D167" s="916">
        <v>0</v>
      </c>
      <c r="E167" s="916">
        <v>0</v>
      </c>
      <c r="F167" s="916">
        <v>0</v>
      </c>
      <c r="G167" s="916">
        <v>0</v>
      </c>
      <c r="H167" s="916">
        <v>0</v>
      </c>
      <c r="I167" s="916">
        <v>0</v>
      </c>
      <c r="J167" s="916">
        <v>0</v>
      </c>
      <c r="K167" s="916">
        <v>0</v>
      </c>
      <c r="L167" s="916">
        <v>0</v>
      </c>
      <c r="M167" s="916">
        <v>0</v>
      </c>
      <c r="N167" s="916">
        <v>0</v>
      </c>
      <c r="O167" s="916">
        <f t="shared" si="21"/>
        <v>0</v>
      </c>
    </row>
    <row r="168" spans="2:15" hidden="1" x14ac:dyDescent="0.2">
      <c r="B168" t="s">
        <v>212</v>
      </c>
      <c r="C168" s="916">
        <v>0</v>
      </c>
      <c r="D168" s="916">
        <v>0</v>
      </c>
      <c r="E168" s="916">
        <v>0</v>
      </c>
      <c r="F168" s="916">
        <v>0</v>
      </c>
      <c r="G168" s="916">
        <v>0</v>
      </c>
      <c r="H168" s="916">
        <v>0</v>
      </c>
      <c r="I168" s="916">
        <v>0</v>
      </c>
      <c r="J168" s="916">
        <v>0</v>
      </c>
      <c r="K168" s="916">
        <v>0</v>
      </c>
      <c r="L168" s="916">
        <v>0</v>
      </c>
      <c r="M168" s="916">
        <v>0</v>
      </c>
      <c r="N168" s="916">
        <v>0</v>
      </c>
      <c r="O168" s="916">
        <f t="shared" si="21"/>
        <v>0</v>
      </c>
    </row>
    <row r="169" spans="2:15" hidden="1" x14ac:dyDescent="0.2">
      <c r="B169" t="s">
        <v>213</v>
      </c>
      <c r="C169" s="916">
        <v>0</v>
      </c>
      <c r="D169" s="916">
        <v>0</v>
      </c>
      <c r="E169" s="916">
        <v>0</v>
      </c>
      <c r="F169" s="916">
        <v>0</v>
      </c>
      <c r="G169" s="916">
        <v>0</v>
      </c>
      <c r="H169" s="916">
        <v>0</v>
      </c>
      <c r="I169" s="916">
        <v>0</v>
      </c>
      <c r="J169" s="916">
        <v>0</v>
      </c>
      <c r="K169" s="916">
        <v>0</v>
      </c>
      <c r="L169" s="916">
        <v>0</v>
      </c>
      <c r="M169" s="916">
        <v>0</v>
      </c>
      <c r="N169" s="916">
        <v>0</v>
      </c>
      <c r="O169" s="916">
        <f t="shared" si="21"/>
        <v>0</v>
      </c>
    </row>
    <row r="170" spans="2:15" hidden="1" x14ac:dyDescent="0.2">
      <c r="B170" t="s">
        <v>214</v>
      </c>
      <c r="C170" s="916">
        <v>0</v>
      </c>
      <c r="D170" s="916">
        <v>0</v>
      </c>
      <c r="E170" s="916">
        <v>0</v>
      </c>
      <c r="F170" s="916">
        <v>0</v>
      </c>
      <c r="G170" s="916">
        <v>0</v>
      </c>
      <c r="H170" s="916">
        <v>0</v>
      </c>
      <c r="I170" s="916">
        <v>0</v>
      </c>
      <c r="J170" s="916">
        <v>0</v>
      </c>
      <c r="K170" s="916">
        <v>0</v>
      </c>
      <c r="L170" s="916">
        <v>0</v>
      </c>
      <c r="M170" s="916">
        <v>0</v>
      </c>
      <c r="N170" s="916">
        <v>0</v>
      </c>
      <c r="O170" s="916">
        <f t="shared" si="21"/>
        <v>0</v>
      </c>
    </row>
    <row r="171" spans="2:15" hidden="1" x14ac:dyDescent="0.2">
      <c r="B171" t="s">
        <v>215</v>
      </c>
      <c r="C171" s="916">
        <v>0</v>
      </c>
      <c r="D171" s="916">
        <v>0</v>
      </c>
      <c r="E171" s="916">
        <v>0</v>
      </c>
      <c r="F171" s="916">
        <v>0</v>
      </c>
      <c r="G171" s="916">
        <v>0</v>
      </c>
      <c r="H171" s="916">
        <v>0</v>
      </c>
      <c r="I171" s="916">
        <v>0</v>
      </c>
      <c r="J171" s="916">
        <v>0</v>
      </c>
      <c r="K171" s="916">
        <v>0</v>
      </c>
      <c r="L171" s="916">
        <v>0</v>
      </c>
      <c r="M171" s="916">
        <v>0</v>
      </c>
      <c r="N171" s="916">
        <v>0</v>
      </c>
      <c r="O171" s="916">
        <f t="shared" si="21"/>
        <v>0</v>
      </c>
    </row>
    <row r="172" spans="2:15" hidden="1" x14ac:dyDescent="0.2">
      <c r="B172" t="s">
        <v>216</v>
      </c>
      <c r="C172" s="916">
        <v>0</v>
      </c>
      <c r="D172" s="916">
        <v>0</v>
      </c>
      <c r="E172" s="916">
        <v>0</v>
      </c>
      <c r="F172" s="916">
        <v>0</v>
      </c>
      <c r="G172" s="916">
        <v>0</v>
      </c>
      <c r="H172" s="916">
        <v>0</v>
      </c>
      <c r="I172" s="916">
        <v>0</v>
      </c>
      <c r="J172" s="916">
        <v>0</v>
      </c>
      <c r="K172" s="916">
        <v>0</v>
      </c>
      <c r="L172" s="916">
        <v>0</v>
      </c>
      <c r="M172" s="916">
        <v>0</v>
      </c>
      <c r="N172" s="916">
        <v>0</v>
      </c>
      <c r="O172" s="916">
        <f t="shared" si="21"/>
        <v>0</v>
      </c>
    </row>
    <row r="173" spans="2:15" hidden="1" x14ac:dyDescent="0.2">
      <c r="B173" t="s">
        <v>217</v>
      </c>
      <c r="C173" s="916">
        <v>0</v>
      </c>
      <c r="D173" s="916">
        <v>0</v>
      </c>
      <c r="E173" s="916">
        <v>0</v>
      </c>
      <c r="F173" s="916">
        <v>0</v>
      </c>
      <c r="G173" s="916">
        <v>0</v>
      </c>
      <c r="H173" s="916">
        <v>0</v>
      </c>
      <c r="I173" s="916">
        <v>0</v>
      </c>
      <c r="J173" s="916">
        <v>0</v>
      </c>
      <c r="K173" s="916">
        <v>0</v>
      </c>
      <c r="L173" s="916">
        <v>0</v>
      </c>
      <c r="M173" s="916">
        <v>0</v>
      </c>
      <c r="N173" s="916">
        <v>0</v>
      </c>
      <c r="O173" s="916">
        <f t="shared" si="21"/>
        <v>0</v>
      </c>
    </row>
    <row r="174" spans="2:15" hidden="1" x14ac:dyDescent="0.2">
      <c r="B174" t="s">
        <v>218</v>
      </c>
      <c r="C174" s="916">
        <v>0</v>
      </c>
      <c r="D174" s="916">
        <v>0</v>
      </c>
      <c r="E174" s="916">
        <v>0</v>
      </c>
      <c r="F174" s="916">
        <v>0</v>
      </c>
      <c r="G174" s="916">
        <v>0</v>
      </c>
      <c r="H174" s="916">
        <v>0</v>
      </c>
      <c r="I174" s="916">
        <v>0</v>
      </c>
      <c r="J174" s="916">
        <v>0</v>
      </c>
      <c r="K174" s="916">
        <v>0</v>
      </c>
      <c r="L174" s="916">
        <v>0</v>
      </c>
      <c r="M174" s="916">
        <v>0</v>
      </c>
      <c r="N174" s="916">
        <v>0</v>
      </c>
      <c r="O174" s="916">
        <f t="shared" si="21"/>
        <v>0</v>
      </c>
    </row>
    <row r="175" spans="2:15" hidden="1" x14ac:dyDescent="0.2">
      <c r="B175" t="s">
        <v>219</v>
      </c>
      <c r="C175" s="916">
        <v>0</v>
      </c>
      <c r="D175" s="916">
        <v>0</v>
      </c>
      <c r="E175" s="916">
        <v>0</v>
      </c>
      <c r="F175" s="916">
        <v>0</v>
      </c>
      <c r="G175" s="916">
        <v>0</v>
      </c>
      <c r="H175" s="916">
        <v>0</v>
      </c>
      <c r="I175" s="916">
        <v>0</v>
      </c>
      <c r="J175" s="916">
        <v>0</v>
      </c>
      <c r="K175" s="916">
        <v>0</v>
      </c>
      <c r="L175" s="916">
        <v>0</v>
      </c>
      <c r="M175" s="916">
        <v>0</v>
      </c>
      <c r="N175" s="916">
        <v>0</v>
      </c>
      <c r="O175" s="916">
        <f t="shared" si="21"/>
        <v>0</v>
      </c>
    </row>
    <row r="176" spans="2:15" hidden="1" x14ac:dyDescent="0.2">
      <c r="B176" t="s">
        <v>220</v>
      </c>
      <c r="C176" s="916">
        <v>0</v>
      </c>
      <c r="D176" s="916">
        <v>0</v>
      </c>
      <c r="E176" s="916">
        <v>0</v>
      </c>
      <c r="F176" s="916">
        <v>0</v>
      </c>
      <c r="G176" s="916">
        <v>0</v>
      </c>
      <c r="H176" s="916">
        <v>0</v>
      </c>
      <c r="I176" s="916">
        <v>0</v>
      </c>
      <c r="J176" s="916">
        <v>0</v>
      </c>
      <c r="K176" s="916">
        <v>0</v>
      </c>
      <c r="L176" s="916">
        <v>0</v>
      </c>
      <c r="M176" s="916">
        <v>0</v>
      </c>
      <c r="N176" s="916">
        <v>0</v>
      </c>
      <c r="O176" s="916">
        <f t="shared" si="21"/>
        <v>0</v>
      </c>
    </row>
    <row r="177" spans="1:15" hidden="1" x14ac:dyDescent="0.2">
      <c r="B177" t="s">
        <v>221</v>
      </c>
      <c r="C177" s="916">
        <v>0</v>
      </c>
      <c r="D177" s="916">
        <v>0</v>
      </c>
      <c r="E177" s="916">
        <v>0</v>
      </c>
      <c r="F177" s="916">
        <v>0</v>
      </c>
      <c r="G177" s="916">
        <v>0</v>
      </c>
      <c r="H177" s="916">
        <v>0</v>
      </c>
      <c r="I177" s="916">
        <v>0</v>
      </c>
      <c r="J177" s="916">
        <v>0</v>
      </c>
      <c r="K177" s="916">
        <v>0</v>
      </c>
      <c r="L177" s="916">
        <v>0</v>
      </c>
      <c r="M177" s="916">
        <v>0</v>
      </c>
      <c r="N177" s="916">
        <v>0</v>
      </c>
      <c r="O177" s="916">
        <f t="shared" si="21"/>
        <v>0</v>
      </c>
    </row>
    <row r="178" spans="1:15" hidden="1" x14ac:dyDescent="0.2">
      <c r="A178" s="2" t="s">
        <v>10</v>
      </c>
      <c r="B178" t="s">
        <v>142</v>
      </c>
      <c r="C178" s="916">
        <v>0</v>
      </c>
      <c r="D178" s="916">
        <v>0</v>
      </c>
      <c r="E178" s="916">
        <v>0</v>
      </c>
      <c r="F178" s="916">
        <v>0</v>
      </c>
      <c r="G178" s="916">
        <v>0</v>
      </c>
      <c r="H178" s="916">
        <v>0</v>
      </c>
      <c r="I178" s="916">
        <v>0</v>
      </c>
      <c r="J178" s="916">
        <v>0</v>
      </c>
      <c r="K178" s="916">
        <v>0</v>
      </c>
      <c r="L178" s="916">
        <v>0</v>
      </c>
      <c r="M178" s="916">
        <v>0</v>
      </c>
      <c r="N178" s="916">
        <v>0</v>
      </c>
      <c r="O178" s="916">
        <f t="shared" si="21"/>
        <v>0</v>
      </c>
    </row>
    <row r="179" spans="1:15" hidden="1" x14ac:dyDescent="0.2">
      <c r="A179" s="2" t="s">
        <v>10</v>
      </c>
      <c r="B179" t="s">
        <v>141</v>
      </c>
      <c r="C179" s="916">
        <v>0</v>
      </c>
      <c r="D179" s="916">
        <v>0</v>
      </c>
      <c r="E179" s="916">
        <v>0</v>
      </c>
      <c r="F179" s="916">
        <v>0</v>
      </c>
      <c r="G179" s="916">
        <v>0</v>
      </c>
      <c r="H179" s="916">
        <v>0</v>
      </c>
      <c r="I179" s="916">
        <v>0</v>
      </c>
      <c r="J179" s="916">
        <v>0</v>
      </c>
      <c r="K179" s="916">
        <v>0</v>
      </c>
      <c r="L179" s="916">
        <v>0</v>
      </c>
      <c r="M179" s="916">
        <v>0</v>
      </c>
      <c r="N179" s="916">
        <v>0</v>
      </c>
      <c r="O179" s="916">
        <f t="shared" si="21"/>
        <v>0</v>
      </c>
    </row>
    <row r="180" spans="1:15" hidden="1" x14ac:dyDescent="0.2">
      <c r="A180" s="2" t="s">
        <v>33</v>
      </c>
      <c r="B180" t="s">
        <v>222</v>
      </c>
      <c r="C180" s="916">
        <v>0</v>
      </c>
      <c r="D180" s="916">
        <v>0</v>
      </c>
      <c r="E180" s="916">
        <v>0</v>
      </c>
      <c r="F180" s="916">
        <v>0</v>
      </c>
      <c r="G180" s="916">
        <v>0</v>
      </c>
      <c r="H180" s="916">
        <v>0</v>
      </c>
      <c r="I180" s="916">
        <v>0</v>
      </c>
      <c r="J180" s="916">
        <v>0</v>
      </c>
      <c r="K180" s="916">
        <v>0</v>
      </c>
      <c r="L180" s="916">
        <v>0</v>
      </c>
      <c r="M180" s="916">
        <v>0</v>
      </c>
      <c r="N180" s="916">
        <v>0</v>
      </c>
      <c r="O180" s="916">
        <f t="shared" si="21"/>
        <v>0</v>
      </c>
    </row>
    <row r="181" spans="1:15" hidden="1" x14ac:dyDescent="0.2">
      <c r="A181" s="2" t="s">
        <v>10</v>
      </c>
      <c r="B181" t="s">
        <v>138</v>
      </c>
      <c r="C181" s="916">
        <v>0</v>
      </c>
      <c r="D181" s="916">
        <v>0</v>
      </c>
      <c r="E181" s="916">
        <v>0</v>
      </c>
      <c r="F181" s="916">
        <v>0</v>
      </c>
      <c r="G181" s="916">
        <v>0</v>
      </c>
      <c r="H181" s="916">
        <v>0</v>
      </c>
      <c r="I181" s="916">
        <v>0</v>
      </c>
      <c r="J181" s="916">
        <v>0</v>
      </c>
      <c r="K181" s="916">
        <v>0</v>
      </c>
      <c r="L181" s="916">
        <v>0</v>
      </c>
      <c r="M181" s="916">
        <v>0</v>
      </c>
      <c r="N181" s="916">
        <v>0</v>
      </c>
      <c r="O181" s="916">
        <f t="shared" si="21"/>
        <v>0</v>
      </c>
    </row>
    <row r="182" spans="1:15" hidden="1" x14ac:dyDescent="0.2">
      <c r="A182" s="2" t="s">
        <v>10</v>
      </c>
      <c r="B182" t="s">
        <v>136</v>
      </c>
      <c r="C182" s="916">
        <v>0</v>
      </c>
      <c r="D182" s="916">
        <v>0</v>
      </c>
      <c r="E182" s="916">
        <v>0</v>
      </c>
      <c r="F182" s="916">
        <v>0</v>
      </c>
      <c r="G182" s="916">
        <v>0</v>
      </c>
      <c r="H182" s="916">
        <v>0</v>
      </c>
      <c r="I182" s="916">
        <v>0</v>
      </c>
      <c r="J182" s="916">
        <v>0</v>
      </c>
      <c r="K182" s="916">
        <v>0</v>
      </c>
      <c r="L182" s="916">
        <v>0</v>
      </c>
      <c r="M182" s="916">
        <v>0</v>
      </c>
      <c r="N182" s="916">
        <v>0</v>
      </c>
      <c r="O182" s="916">
        <f t="shared" si="21"/>
        <v>0</v>
      </c>
    </row>
    <row r="183" spans="1:15" hidden="1" x14ac:dyDescent="0.2">
      <c r="B183" t="s">
        <v>223</v>
      </c>
      <c r="C183" s="916">
        <v>0</v>
      </c>
      <c r="D183" s="916">
        <v>0</v>
      </c>
      <c r="E183" s="916">
        <v>0</v>
      </c>
      <c r="F183" s="916">
        <v>0</v>
      </c>
      <c r="G183" s="916">
        <v>0</v>
      </c>
      <c r="H183" s="916">
        <v>0</v>
      </c>
      <c r="I183" s="916">
        <v>0</v>
      </c>
      <c r="J183" s="916">
        <v>0</v>
      </c>
      <c r="K183" s="916">
        <v>0</v>
      </c>
      <c r="L183" s="916">
        <v>0</v>
      </c>
      <c r="M183" s="916">
        <v>0</v>
      </c>
      <c r="N183" s="916">
        <v>0</v>
      </c>
      <c r="O183" s="916">
        <f t="shared" si="21"/>
        <v>0</v>
      </c>
    </row>
    <row r="184" spans="1:15" hidden="1" x14ac:dyDescent="0.2">
      <c r="B184" t="s">
        <v>224</v>
      </c>
      <c r="C184" s="916">
        <v>0</v>
      </c>
      <c r="D184" s="916">
        <v>0</v>
      </c>
      <c r="E184" s="916">
        <v>0</v>
      </c>
      <c r="F184" s="916">
        <v>0</v>
      </c>
      <c r="G184" s="916">
        <v>0</v>
      </c>
      <c r="H184" s="916">
        <v>0</v>
      </c>
      <c r="I184" s="916">
        <v>0</v>
      </c>
      <c r="J184" s="916">
        <v>0</v>
      </c>
      <c r="K184" s="916">
        <v>0</v>
      </c>
      <c r="L184" s="916">
        <v>0</v>
      </c>
      <c r="M184" s="916">
        <v>0</v>
      </c>
      <c r="N184" s="916">
        <v>0</v>
      </c>
      <c r="O184" s="916">
        <f t="shared" si="21"/>
        <v>0</v>
      </c>
    </row>
    <row r="185" spans="1:15" hidden="1" x14ac:dyDescent="0.2">
      <c r="B185" t="s">
        <v>225</v>
      </c>
      <c r="C185" s="916">
        <v>0</v>
      </c>
      <c r="D185" s="916">
        <v>0</v>
      </c>
      <c r="E185" s="916">
        <v>0</v>
      </c>
      <c r="F185" s="916">
        <v>0</v>
      </c>
      <c r="G185" s="916">
        <v>0</v>
      </c>
      <c r="H185" s="916">
        <v>0</v>
      </c>
      <c r="I185" s="916">
        <v>0</v>
      </c>
      <c r="J185" s="916">
        <v>0</v>
      </c>
      <c r="K185" s="916">
        <v>0</v>
      </c>
      <c r="L185" s="916">
        <v>0</v>
      </c>
      <c r="M185" s="916">
        <v>0</v>
      </c>
      <c r="N185" s="916">
        <v>0</v>
      </c>
      <c r="O185" s="916">
        <f t="shared" si="21"/>
        <v>0</v>
      </c>
    </row>
    <row r="186" spans="1:15" hidden="1" x14ac:dyDescent="0.2">
      <c r="B186" t="s">
        <v>226</v>
      </c>
      <c r="C186" s="916">
        <v>0</v>
      </c>
      <c r="D186" s="916">
        <v>0</v>
      </c>
      <c r="E186" s="916">
        <v>0</v>
      </c>
      <c r="F186" s="916">
        <v>0</v>
      </c>
      <c r="G186" s="916">
        <v>0</v>
      </c>
      <c r="H186" s="916">
        <v>0</v>
      </c>
      <c r="I186" s="916">
        <v>0</v>
      </c>
      <c r="J186" s="916">
        <v>0</v>
      </c>
      <c r="K186" s="916">
        <v>0</v>
      </c>
      <c r="L186" s="916">
        <v>0</v>
      </c>
      <c r="M186" s="916">
        <v>0</v>
      </c>
      <c r="N186" s="916">
        <v>0</v>
      </c>
      <c r="O186" s="916">
        <f t="shared" si="21"/>
        <v>0</v>
      </c>
    </row>
    <row r="187" spans="1:15" hidden="1" x14ac:dyDescent="0.2">
      <c r="B187" t="s">
        <v>227</v>
      </c>
      <c r="C187" s="916">
        <v>0</v>
      </c>
      <c r="D187" s="916">
        <v>0</v>
      </c>
      <c r="E187" s="916">
        <v>0</v>
      </c>
      <c r="F187" s="916">
        <v>0</v>
      </c>
      <c r="G187" s="916">
        <v>0</v>
      </c>
      <c r="H187" s="916">
        <v>0</v>
      </c>
      <c r="I187" s="916">
        <v>0</v>
      </c>
      <c r="J187" s="916">
        <v>0</v>
      </c>
      <c r="K187" s="916">
        <v>0</v>
      </c>
      <c r="L187" s="916">
        <v>0</v>
      </c>
      <c r="M187" s="916">
        <v>0</v>
      </c>
      <c r="N187" s="916">
        <v>0</v>
      </c>
      <c r="O187" s="916">
        <f t="shared" si="21"/>
        <v>0</v>
      </c>
    </row>
    <row r="188" spans="1:15" hidden="1" x14ac:dyDescent="0.2">
      <c r="B188" t="s">
        <v>228</v>
      </c>
      <c r="C188" s="916">
        <v>0</v>
      </c>
      <c r="D188" s="916">
        <v>0</v>
      </c>
      <c r="E188" s="916">
        <v>0</v>
      </c>
      <c r="F188" s="916">
        <v>0</v>
      </c>
      <c r="G188" s="916">
        <v>0</v>
      </c>
      <c r="H188" s="916">
        <v>0</v>
      </c>
      <c r="I188" s="916">
        <v>0</v>
      </c>
      <c r="J188" s="916">
        <v>0</v>
      </c>
      <c r="K188" s="916">
        <v>0</v>
      </c>
      <c r="L188" s="916">
        <v>0</v>
      </c>
      <c r="M188" s="916">
        <v>0</v>
      </c>
      <c r="N188" s="916">
        <v>0</v>
      </c>
      <c r="O188" s="916">
        <f t="shared" si="21"/>
        <v>0</v>
      </c>
    </row>
    <row r="189" spans="1:15" hidden="1" x14ac:dyDescent="0.2">
      <c r="B189" t="s">
        <v>229</v>
      </c>
      <c r="C189" s="916">
        <v>0</v>
      </c>
      <c r="D189" s="916">
        <v>0</v>
      </c>
      <c r="E189" s="916">
        <v>0</v>
      </c>
      <c r="F189" s="916">
        <v>0</v>
      </c>
      <c r="G189" s="916">
        <v>0</v>
      </c>
      <c r="H189" s="916">
        <v>0</v>
      </c>
      <c r="I189" s="916">
        <v>0</v>
      </c>
      <c r="J189" s="916">
        <v>0</v>
      </c>
      <c r="K189" s="916">
        <v>0</v>
      </c>
      <c r="L189" s="916">
        <v>0</v>
      </c>
      <c r="M189" s="916">
        <v>0</v>
      </c>
      <c r="N189" s="916">
        <v>0</v>
      </c>
      <c r="O189" s="916">
        <f t="shared" si="21"/>
        <v>0</v>
      </c>
    </row>
    <row r="190" spans="1:15" hidden="1" x14ac:dyDescent="0.2">
      <c r="B190" t="s">
        <v>230</v>
      </c>
      <c r="C190" s="916">
        <v>0</v>
      </c>
      <c r="D190" s="916">
        <v>0</v>
      </c>
      <c r="E190" s="916">
        <v>0</v>
      </c>
      <c r="F190" s="916">
        <v>0</v>
      </c>
      <c r="G190" s="916">
        <v>0</v>
      </c>
      <c r="H190" s="916">
        <v>0</v>
      </c>
      <c r="I190" s="916">
        <v>0</v>
      </c>
      <c r="J190" s="916">
        <v>0</v>
      </c>
      <c r="K190" s="916">
        <v>0</v>
      </c>
      <c r="L190" s="916">
        <v>0</v>
      </c>
      <c r="M190" s="916">
        <v>0</v>
      </c>
      <c r="N190" s="916">
        <v>0</v>
      </c>
      <c r="O190" s="916">
        <f t="shared" si="21"/>
        <v>0</v>
      </c>
    </row>
    <row r="191" spans="1:15" hidden="1" x14ac:dyDescent="0.2">
      <c r="B191" t="s">
        <v>231</v>
      </c>
      <c r="C191" s="916">
        <v>0</v>
      </c>
      <c r="D191" s="916">
        <v>0</v>
      </c>
      <c r="E191" s="916">
        <v>0</v>
      </c>
      <c r="F191" s="916">
        <v>0</v>
      </c>
      <c r="G191" s="916">
        <v>0</v>
      </c>
      <c r="H191" s="916">
        <v>0</v>
      </c>
      <c r="I191" s="916">
        <v>0</v>
      </c>
      <c r="J191" s="916">
        <v>0</v>
      </c>
      <c r="K191" s="916">
        <v>0</v>
      </c>
      <c r="L191" s="916">
        <v>0</v>
      </c>
      <c r="M191" s="916">
        <v>0</v>
      </c>
      <c r="N191" s="916">
        <v>0</v>
      </c>
      <c r="O191" s="916">
        <f t="shared" si="21"/>
        <v>0</v>
      </c>
    </row>
    <row r="192" spans="1:15" hidden="1" x14ac:dyDescent="0.2">
      <c r="B192" t="s">
        <v>232</v>
      </c>
      <c r="C192" s="916">
        <v>0</v>
      </c>
      <c r="D192" s="916">
        <v>0</v>
      </c>
      <c r="E192" s="916">
        <v>0</v>
      </c>
      <c r="F192" s="916">
        <v>0</v>
      </c>
      <c r="G192" s="916">
        <v>0</v>
      </c>
      <c r="H192" s="916">
        <v>0</v>
      </c>
      <c r="I192" s="916">
        <v>0</v>
      </c>
      <c r="J192" s="916">
        <v>0</v>
      </c>
      <c r="K192" s="916">
        <v>0</v>
      </c>
      <c r="L192" s="916">
        <v>0</v>
      </c>
      <c r="M192" s="916">
        <v>0</v>
      </c>
      <c r="N192" s="916">
        <v>0</v>
      </c>
      <c r="O192" s="916">
        <f t="shared" si="21"/>
        <v>0</v>
      </c>
    </row>
    <row r="193" spans="2:15" hidden="1" x14ac:dyDescent="0.2">
      <c r="B193" t="s">
        <v>233</v>
      </c>
      <c r="C193" s="916">
        <v>0</v>
      </c>
      <c r="D193" s="916">
        <v>0</v>
      </c>
      <c r="E193" s="916">
        <v>0</v>
      </c>
      <c r="F193" s="916">
        <v>0</v>
      </c>
      <c r="G193" s="916">
        <v>0</v>
      </c>
      <c r="H193" s="916">
        <v>0</v>
      </c>
      <c r="I193" s="916">
        <v>0</v>
      </c>
      <c r="J193" s="916">
        <v>0</v>
      </c>
      <c r="K193" s="916">
        <v>0</v>
      </c>
      <c r="L193" s="916">
        <v>0</v>
      </c>
      <c r="M193" s="916">
        <v>0</v>
      </c>
      <c r="N193" s="916">
        <v>0</v>
      </c>
      <c r="O193" s="916">
        <f t="shared" si="21"/>
        <v>0</v>
      </c>
    </row>
    <row r="194" spans="2:15" hidden="1" x14ac:dyDescent="0.2">
      <c r="B194" t="s">
        <v>234</v>
      </c>
      <c r="C194" s="916">
        <v>0</v>
      </c>
      <c r="D194" s="916">
        <v>0</v>
      </c>
      <c r="E194" s="916">
        <v>0</v>
      </c>
      <c r="F194" s="916">
        <v>0</v>
      </c>
      <c r="G194" s="916">
        <v>0</v>
      </c>
      <c r="H194" s="916">
        <v>0</v>
      </c>
      <c r="I194" s="916">
        <v>0</v>
      </c>
      <c r="J194" s="916">
        <v>0</v>
      </c>
      <c r="K194" s="916">
        <v>0</v>
      </c>
      <c r="L194" s="916">
        <v>0</v>
      </c>
      <c r="M194" s="916">
        <v>0</v>
      </c>
      <c r="N194" s="916">
        <v>0</v>
      </c>
      <c r="O194" s="916">
        <f t="shared" si="21"/>
        <v>0</v>
      </c>
    </row>
    <row r="195" spans="2:15" x14ac:dyDescent="0.2">
      <c r="B195" t="s">
        <v>9</v>
      </c>
      <c r="C195" s="916">
        <v>0</v>
      </c>
      <c r="D195" s="916">
        <v>0</v>
      </c>
      <c r="E195" s="916">
        <v>0</v>
      </c>
      <c r="F195" s="916">
        <v>0</v>
      </c>
      <c r="G195" s="916">
        <v>0</v>
      </c>
      <c r="H195" s="916">
        <v>0</v>
      </c>
      <c r="I195" s="916">
        <v>0</v>
      </c>
      <c r="J195" s="916">
        <v>0</v>
      </c>
      <c r="K195" s="916">
        <v>0</v>
      </c>
      <c r="L195" s="916">
        <v>0</v>
      </c>
      <c r="M195" s="916">
        <v>0</v>
      </c>
      <c r="N195" s="916">
        <v>-602580</v>
      </c>
      <c r="O195" s="916">
        <f t="shared" si="21"/>
        <v>-602580</v>
      </c>
    </row>
    <row r="196" spans="2:15" hidden="1" x14ac:dyDescent="0.2">
      <c r="B196" s="3" t="s">
        <v>581</v>
      </c>
      <c r="C196" s="916">
        <v>0</v>
      </c>
      <c r="D196" s="916">
        <v>0</v>
      </c>
      <c r="E196" s="916">
        <v>0</v>
      </c>
      <c r="F196" s="916">
        <v>0</v>
      </c>
      <c r="G196" s="916">
        <v>0</v>
      </c>
      <c r="H196" s="916">
        <v>0</v>
      </c>
      <c r="I196" s="916">
        <v>0</v>
      </c>
      <c r="J196" s="916">
        <v>0</v>
      </c>
      <c r="K196" s="916">
        <v>0</v>
      </c>
      <c r="L196" s="916">
        <v>0</v>
      </c>
      <c r="M196" s="916">
        <v>0</v>
      </c>
      <c r="N196" s="916">
        <v>0</v>
      </c>
      <c r="O196" s="916">
        <f t="shared" si="21"/>
        <v>0</v>
      </c>
    </row>
    <row r="197" spans="2:15" hidden="1" x14ac:dyDescent="0.2">
      <c r="B197" s="3" t="s">
        <v>235</v>
      </c>
      <c r="C197" s="916">
        <v>0</v>
      </c>
      <c r="D197" s="916">
        <v>0</v>
      </c>
      <c r="E197" s="916">
        <v>0</v>
      </c>
      <c r="F197" s="916">
        <v>0</v>
      </c>
      <c r="G197" s="916">
        <v>0</v>
      </c>
      <c r="H197" s="916">
        <v>0</v>
      </c>
      <c r="I197" s="916">
        <v>0</v>
      </c>
      <c r="J197" s="916">
        <v>0</v>
      </c>
      <c r="K197" s="916">
        <v>0</v>
      </c>
      <c r="L197" s="916">
        <v>0</v>
      </c>
      <c r="M197" s="916">
        <v>0</v>
      </c>
      <c r="N197" s="916">
        <v>0</v>
      </c>
      <c r="O197" s="916">
        <f t="shared" si="21"/>
        <v>0</v>
      </c>
    </row>
    <row r="198" spans="2:15" hidden="1" x14ac:dyDescent="0.2">
      <c r="B198" t="s">
        <v>236</v>
      </c>
      <c r="C198" s="916">
        <v>0</v>
      </c>
      <c r="D198" s="916">
        <v>0</v>
      </c>
      <c r="E198" s="916">
        <v>0</v>
      </c>
      <c r="F198" s="916">
        <v>0</v>
      </c>
      <c r="G198" s="916">
        <v>0</v>
      </c>
      <c r="H198" s="916">
        <v>0</v>
      </c>
      <c r="I198" s="916">
        <v>0</v>
      </c>
      <c r="J198" s="916">
        <v>0</v>
      </c>
      <c r="K198" s="916">
        <v>0</v>
      </c>
      <c r="L198" s="916">
        <v>0</v>
      </c>
      <c r="M198" s="916">
        <v>0</v>
      </c>
      <c r="N198" s="916">
        <v>0</v>
      </c>
      <c r="O198" s="916">
        <f t="shared" ref="O198:O222" si="22">SUM(C198:N198)</f>
        <v>0</v>
      </c>
    </row>
    <row r="199" spans="2:15" hidden="1" x14ac:dyDescent="0.2">
      <c r="B199" t="s">
        <v>237</v>
      </c>
      <c r="C199" s="916">
        <v>0</v>
      </c>
      <c r="D199" s="916">
        <v>0</v>
      </c>
      <c r="E199" s="916">
        <v>0</v>
      </c>
      <c r="F199" s="916">
        <v>0</v>
      </c>
      <c r="G199" s="916">
        <v>0</v>
      </c>
      <c r="H199" s="916">
        <v>0</v>
      </c>
      <c r="I199" s="916">
        <v>0</v>
      </c>
      <c r="J199" s="916">
        <v>0</v>
      </c>
      <c r="K199" s="916">
        <v>0</v>
      </c>
      <c r="L199" s="916">
        <v>0</v>
      </c>
      <c r="M199" s="916">
        <v>0</v>
      </c>
      <c r="N199" s="916">
        <v>0</v>
      </c>
      <c r="O199" s="916">
        <f t="shared" si="22"/>
        <v>0</v>
      </c>
    </row>
    <row r="200" spans="2:15" hidden="1" x14ac:dyDescent="0.2">
      <c r="B200" t="s">
        <v>238</v>
      </c>
      <c r="C200" s="916">
        <v>0</v>
      </c>
      <c r="D200" s="916">
        <v>0</v>
      </c>
      <c r="E200" s="916">
        <v>0</v>
      </c>
      <c r="F200" s="916">
        <v>0</v>
      </c>
      <c r="G200" s="916">
        <v>0</v>
      </c>
      <c r="H200" s="916">
        <v>0</v>
      </c>
      <c r="I200" s="916">
        <v>0</v>
      </c>
      <c r="J200" s="916">
        <v>0</v>
      </c>
      <c r="K200" s="916">
        <v>0</v>
      </c>
      <c r="L200" s="916">
        <v>0</v>
      </c>
      <c r="M200" s="916">
        <v>0</v>
      </c>
      <c r="N200" s="916">
        <v>0</v>
      </c>
      <c r="O200" s="916">
        <f t="shared" si="22"/>
        <v>0</v>
      </c>
    </row>
    <row r="201" spans="2:15" hidden="1" x14ac:dyDescent="0.2">
      <c r="B201" t="s">
        <v>239</v>
      </c>
      <c r="C201" s="916">
        <v>0</v>
      </c>
      <c r="D201" s="916">
        <v>0</v>
      </c>
      <c r="E201" s="916">
        <v>0</v>
      </c>
      <c r="F201" s="916">
        <v>0</v>
      </c>
      <c r="G201" s="916">
        <v>0</v>
      </c>
      <c r="H201" s="916">
        <v>0</v>
      </c>
      <c r="I201" s="916">
        <v>0</v>
      </c>
      <c r="J201" s="916">
        <v>0</v>
      </c>
      <c r="K201" s="916">
        <v>0</v>
      </c>
      <c r="L201" s="916">
        <v>0</v>
      </c>
      <c r="M201" s="916">
        <v>0</v>
      </c>
      <c r="N201" s="916">
        <v>0</v>
      </c>
      <c r="O201" s="916">
        <f t="shared" si="22"/>
        <v>0</v>
      </c>
    </row>
    <row r="202" spans="2:15" hidden="1" x14ac:dyDescent="0.2">
      <c r="B202" t="s">
        <v>240</v>
      </c>
      <c r="C202" s="916">
        <v>0</v>
      </c>
      <c r="D202" s="916">
        <v>0</v>
      </c>
      <c r="E202" s="916">
        <v>0</v>
      </c>
      <c r="F202" s="916">
        <v>0</v>
      </c>
      <c r="G202" s="916">
        <v>0</v>
      </c>
      <c r="H202" s="916">
        <v>0</v>
      </c>
      <c r="I202" s="916">
        <v>0</v>
      </c>
      <c r="J202" s="916">
        <v>0</v>
      </c>
      <c r="K202" s="916">
        <v>0</v>
      </c>
      <c r="L202" s="916">
        <v>0</v>
      </c>
      <c r="M202" s="916">
        <v>0</v>
      </c>
      <c r="N202" s="916">
        <v>0</v>
      </c>
      <c r="O202" s="916">
        <f t="shared" si="22"/>
        <v>0</v>
      </c>
    </row>
    <row r="203" spans="2:15" hidden="1" x14ac:dyDescent="0.2">
      <c r="B203" t="s">
        <v>241</v>
      </c>
      <c r="C203" s="916">
        <v>0</v>
      </c>
      <c r="D203" s="916">
        <v>0</v>
      </c>
      <c r="E203" s="916">
        <v>0</v>
      </c>
      <c r="F203" s="916">
        <v>0</v>
      </c>
      <c r="G203" s="916">
        <v>0</v>
      </c>
      <c r="H203" s="916">
        <v>0</v>
      </c>
      <c r="I203" s="916">
        <v>0</v>
      </c>
      <c r="J203" s="916">
        <v>0</v>
      </c>
      <c r="K203" s="916">
        <v>0</v>
      </c>
      <c r="L203" s="916">
        <v>0</v>
      </c>
      <c r="M203" s="916">
        <v>0</v>
      </c>
      <c r="N203" s="916">
        <v>0</v>
      </c>
      <c r="O203" s="916">
        <f t="shared" si="22"/>
        <v>0</v>
      </c>
    </row>
    <row r="204" spans="2:15" hidden="1" x14ac:dyDescent="0.2">
      <c r="B204" t="s">
        <v>242</v>
      </c>
      <c r="C204" s="916">
        <v>0</v>
      </c>
      <c r="D204" s="916">
        <v>0</v>
      </c>
      <c r="E204" s="916">
        <v>0</v>
      </c>
      <c r="F204" s="916">
        <v>0</v>
      </c>
      <c r="G204" s="916">
        <v>0</v>
      </c>
      <c r="H204" s="916">
        <v>0</v>
      </c>
      <c r="I204" s="916">
        <v>0</v>
      </c>
      <c r="J204" s="916">
        <v>0</v>
      </c>
      <c r="K204" s="916">
        <v>0</v>
      </c>
      <c r="L204" s="916">
        <v>0</v>
      </c>
      <c r="M204" s="916">
        <v>0</v>
      </c>
      <c r="N204" s="916">
        <v>0</v>
      </c>
      <c r="O204" s="916">
        <f t="shared" si="22"/>
        <v>0</v>
      </c>
    </row>
    <row r="205" spans="2:15" hidden="1" x14ac:dyDescent="0.2">
      <c r="B205" t="s">
        <v>243</v>
      </c>
      <c r="C205" s="916">
        <v>0</v>
      </c>
      <c r="D205" s="916">
        <v>0</v>
      </c>
      <c r="E205" s="916">
        <v>0</v>
      </c>
      <c r="F205" s="916">
        <v>0</v>
      </c>
      <c r="G205" s="916">
        <v>0</v>
      </c>
      <c r="H205" s="916">
        <v>0</v>
      </c>
      <c r="I205" s="916">
        <v>0</v>
      </c>
      <c r="J205" s="916">
        <v>0</v>
      </c>
      <c r="K205" s="916">
        <v>0</v>
      </c>
      <c r="L205" s="916">
        <v>0</v>
      </c>
      <c r="M205" s="916">
        <v>0</v>
      </c>
      <c r="N205" s="916">
        <v>0</v>
      </c>
      <c r="O205" s="916">
        <f t="shared" si="22"/>
        <v>0</v>
      </c>
    </row>
    <row r="206" spans="2:15" hidden="1" x14ac:dyDescent="0.2">
      <c r="B206" t="s">
        <v>244</v>
      </c>
      <c r="C206" s="916">
        <v>0</v>
      </c>
      <c r="D206" s="916">
        <v>0</v>
      </c>
      <c r="E206" s="916">
        <v>0</v>
      </c>
      <c r="F206" s="916">
        <v>0</v>
      </c>
      <c r="G206" s="916">
        <v>0</v>
      </c>
      <c r="H206" s="916">
        <v>0</v>
      </c>
      <c r="I206" s="916">
        <v>0</v>
      </c>
      <c r="J206" s="916">
        <v>0</v>
      </c>
      <c r="K206" s="916">
        <v>0</v>
      </c>
      <c r="L206" s="916">
        <v>0</v>
      </c>
      <c r="M206" s="916">
        <v>0</v>
      </c>
      <c r="N206" s="916">
        <v>0</v>
      </c>
      <c r="O206" s="916">
        <f t="shared" si="22"/>
        <v>0</v>
      </c>
    </row>
    <row r="207" spans="2:15" x14ac:dyDescent="0.2">
      <c r="B207" s="2" t="s">
        <v>245</v>
      </c>
      <c r="C207" s="916"/>
      <c r="D207" s="916"/>
      <c r="E207" s="916"/>
      <c r="F207" s="916"/>
      <c r="G207" s="916"/>
      <c r="H207" s="916"/>
      <c r="I207" s="916"/>
      <c r="J207" s="916"/>
      <c r="K207" s="916"/>
      <c r="L207" s="916"/>
      <c r="M207" s="916"/>
      <c r="N207" s="916"/>
      <c r="O207" s="916">
        <f t="shared" si="22"/>
        <v>0</v>
      </c>
    </row>
    <row r="208" spans="2:15" hidden="1" x14ac:dyDescent="0.2">
      <c r="B208" t="s">
        <v>246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f t="shared" si="22"/>
        <v>0</v>
      </c>
    </row>
    <row r="209" spans="2:15" hidden="1" x14ac:dyDescent="0.2">
      <c r="B209" t="s">
        <v>247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f t="shared" si="22"/>
        <v>0</v>
      </c>
    </row>
    <row r="210" spans="2:15" hidden="1" x14ac:dyDescent="0.2">
      <c r="B210" t="s">
        <v>248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f t="shared" si="22"/>
        <v>0</v>
      </c>
    </row>
    <row r="211" spans="2:15" hidden="1" x14ac:dyDescent="0.2">
      <c r="B211" t="s">
        <v>249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f t="shared" si="22"/>
        <v>0</v>
      </c>
    </row>
    <row r="212" spans="2:15" hidden="1" x14ac:dyDescent="0.2">
      <c r="B212" t="s">
        <v>250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f t="shared" si="22"/>
        <v>0</v>
      </c>
    </row>
    <row r="213" spans="2:15" hidden="1" x14ac:dyDescent="0.2">
      <c r="B213" t="s">
        <v>251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f t="shared" si="22"/>
        <v>0</v>
      </c>
    </row>
    <row r="214" spans="2:15" hidden="1" x14ac:dyDescent="0.2">
      <c r="B214" t="s">
        <v>252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f t="shared" si="22"/>
        <v>0</v>
      </c>
    </row>
    <row r="215" spans="2:15" hidden="1" x14ac:dyDescent="0.2">
      <c r="B215" t="s">
        <v>253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f t="shared" si="22"/>
        <v>0</v>
      </c>
    </row>
    <row r="216" spans="2:15" hidden="1" x14ac:dyDescent="0.2">
      <c r="B216" t="s">
        <v>254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f t="shared" si="22"/>
        <v>0</v>
      </c>
    </row>
    <row r="217" spans="2:15" hidden="1" x14ac:dyDescent="0.2">
      <c r="B217" t="s">
        <v>255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f t="shared" si="22"/>
        <v>0</v>
      </c>
    </row>
    <row r="218" spans="2:15" hidden="1" x14ac:dyDescent="0.2">
      <c r="B218" t="s">
        <v>256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f t="shared" si="22"/>
        <v>0</v>
      </c>
    </row>
    <row r="219" spans="2:15" hidden="1" x14ac:dyDescent="0.2">
      <c r="B219" t="s">
        <v>257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f t="shared" si="22"/>
        <v>0</v>
      </c>
    </row>
    <row r="220" spans="2:15" hidden="1" x14ac:dyDescent="0.2">
      <c r="B220" t="s">
        <v>258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f t="shared" si="22"/>
        <v>0</v>
      </c>
    </row>
    <row r="221" spans="2:15" hidden="1" x14ac:dyDescent="0.2">
      <c r="B221" t="s">
        <v>259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f t="shared" si="22"/>
        <v>0</v>
      </c>
    </row>
    <row r="222" spans="2:15" hidden="1" x14ac:dyDescent="0.2">
      <c r="B222" t="s">
        <v>260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f t="shared" si="22"/>
        <v>0</v>
      </c>
    </row>
    <row r="223" spans="2:15" x14ac:dyDescent="0.2">
      <c r="O223" s="12"/>
    </row>
  </sheetData>
  <pageMargins left="0.7" right="0.7" top="0.75" bottom="0.75" header="0.3" footer="0.3"/>
  <pageSetup scale="57" orientation="portrait" r:id="rId1"/>
  <colBreaks count="1" manualBreakCount="1">
    <brk id="8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3B432-C6D0-4996-BCE4-CE51615ADF2C}">
  <sheetPr>
    <tabColor rgb="FFFF0000"/>
  </sheetPr>
  <dimension ref="A1:I85"/>
  <sheetViews>
    <sheetView showGridLines="0" zoomScale="90" zoomScaleNormal="9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62" customWidth="1"/>
    <col min="2" max="2" width="12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9.28515625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735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736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>
        <v>0</v>
      </c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1097237</v>
      </c>
      <c r="I8" s="92"/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>
        <v>0</v>
      </c>
      <c r="I9" s="92"/>
    </row>
    <row r="10" spans="1:9" hidden="1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>
        <v>0</v>
      </c>
      <c r="I10" s="92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91">
        <v>0</v>
      </c>
      <c r="I11" s="92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0</v>
      </c>
      <c r="G12" s="90">
        <v>0</v>
      </c>
      <c r="H12" s="91">
        <v>0</v>
      </c>
      <c r="I12" s="92"/>
    </row>
    <row r="13" spans="1:9" hidden="1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0</v>
      </c>
      <c r="G13" s="90">
        <v>0</v>
      </c>
      <c r="H13" s="91">
        <v>0</v>
      </c>
      <c r="I13" s="92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>
        <v>0</v>
      </c>
      <c r="I14" s="92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91">
        <v>166041</v>
      </c>
      <c r="I15" s="92"/>
    </row>
    <row r="16" spans="1:9" hidden="1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0</v>
      </c>
      <c r="G16" s="90">
        <v>0</v>
      </c>
      <c r="H16" s="91">
        <v>0</v>
      </c>
      <c r="I16" s="92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>
        <v>0</v>
      </c>
      <c r="I17" s="92"/>
    </row>
    <row r="18" spans="1:9" hidden="1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0</v>
      </c>
      <c r="G18" s="90">
        <v>0</v>
      </c>
      <c r="H18" s="91">
        <v>0</v>
      </c>
      <c r="I18" s="92"/>
    </row>
    <row r="19" spans="1:9" hidden="1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>
        <v>0</v>
      </c>
      <c r="G19" s="90">
        <v>0</v>
      </c>
      <c r="H19" s="91">
        <v>0</v>
      </c>
      <c r="I19" s="92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0</v>
      </c>
      <c r="G20" s="90">
        <v>0</v>
      </c>
      <c r="H20" s="91">
        <v>30100</v>
      </c>
      <c r="I20" s="92"/>
    </row>
    <row r="21" spans="1:9" hidden="1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>
        <v>0</v>
      </c>
      <c r="G21" s="90">
        <v>0</v>
      </c>
      <c r="H21" s="91">
        <v>0</v>
      </c>
      <c r="I21" s="92"/>
    </row>
    <row r="22" spans="1:9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0</v>
      </c>
      <c r="G22" s="90">
        <v>0</v>
      </c>
      <c r="H22" s="91">
        <v>62300</v>
      </c>
      <c r="I22" s="92"/>
    </row>
    <row r="23" spans="1:9" hidden="1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/>
      <c r="G23" s="90">
        <v>0</v>
      </c>
      <c r="H23" s="91">
        <v>0</v>
      </c>
      <c r="I23" s="92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>
        <v>0</v>
      </c>
      <c r="I24" s="92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>
        <v>0</v>
      </c>
      <c r="I25" s="92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>
        <v>0</v>
      </c>
      <c r="I26" s="92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>
        <v>0</v>
      </c>
      <c r="I27" s="92"/>
    </row>
    <row r="28" spans="1:9" hidden="1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>
        <v>0</v>
      </c>
      <c r="G28" s="90">
        <v>0</v>
      </c>
      <c r="H28" s="91">
        <v>0</v>
      </c>
      <c r="I28" s="92"/>
    </row>
    <row r="29" spans="1:9" hidden="1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>
        <v>0</v>
      </c>
      <c r="G29" s="90">
        <v>0</v>
      </c>
      <c r="H29" s="91">
        <v>0</v>
      </c>
      <c r="I29" s="92"/>
    </row>
    <row r="30" spans="1:9" hidden="1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0</v>
      </c>
      <c r="G30" s="90">
        <v>0</v>
      </c>
      <c r="H30" s="91">
        <v>0</v>
      </c>
      <c r="I30" s="92"/>
    </row>
    <row r="31" spans="1:9" hidden="1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0</v>
      </c>
      <c r="G31" s="90">
        <v>0</v>
      </c>
      <c r="H31" s="91">
        <v>0</v>
      </c>
      <c r="I31" s="92"/>
    </row>
    <row r="32" spans="1:9" hidden="1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0</v>
      </c>
      <c r="G32" s="90">
        <v>0</v>
      </c>
      <c r="H32" s="91">
        <v>0</v>
      </c>
      <c r="I32" s="92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0</v>
      </c>
      <c r="G33" s="104">
        <f>SUM(G6:G32)</f>
        <v>0</v>
      </c>
      <c r="H33" s="106">
        <f>SUM(H6:H32)</f>
        <v>1355678</v>
      </c>
      <c r="I33" s="107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>
        <v>0</v>
      </c>
      <c r="G34" s="90"/>
      <c r="H34" s="111">
        <v>0</v>
      </c>
      <c r="I34" s="112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 t="s">
        <v>393</v>
      </c>
      <c r="G35" s="90">
        <v>0</v>
      </c>
      <c r="H35" s="91">
        <v>0</v>
      </c>
      <c r="I35" s="92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6962353.0184612675</v>
      </c>
      <c r="G36" s="90">
        <v>0</v>
      </c>
      <c r="H36" s="91">
        <v>0</v>
      </c>
      <c r="I36" s="12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 t="s">
        <v>393</v>
      </c>
      <c r="G37" s="90">
        <v>0</v>
      </c>
      <c r="H37" s="91">
        <v>0</v>
      </c>
      <c r="I37" s="92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1080696.5230979393</v>
      </c>
      <c r="G38" s="90">
        <v>0</v>
      </c>
      <c r="H38" s="91">
        <v>0</v>
      </c>
      <c r="I38" s="12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74424.975581721024</v>
      </c>
      <c r="G39" s="90">
        <v>0</v>
      </c>
      <c r="H39" s="91">
        <v>0</v>
      </c>
      <c r="I39" s="92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128396.9037514137</v>
      </c>
      <c r="G40" s="90">
        <v>0</v>
      </c>
      <c r="H40" s="91">
        <v>0</v>
      </c>
      <c r="I40" s="92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>
        <v>0</v>
      </c>
      <c r="G41" s="90">
        <v>0</v>
      </c>
      <c r="H41" s="91">
        <v>0</v>
      </c>
      <c r="I41" s="92"/>
    </row>
    <row r="42" spans="1:9" s="130" customFormat="1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>
        <v>0</v>
      </c>
      <c r="G42" s="306">
        <v>0</v>
      </c>
      <c r="H42" s="307">
        <v>141209</v>
      </c>
      <c r="I42" s="129"/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 t="s">
        <v>737</v>
      </c>
      <c r="G43" s="90">
        <v>0</v>
      </c>
      <c r="H43" s="91">
        <v>0</v>
      </c>
      <c r="I43" s="92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880100</v>
      </c>
      <c r="G44" s="90">
        <v>0</v>
      </c>
      <c r="H44" s="91">
        <v>0</v>
      </c>
      <c r="I44" s="92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>
        <v>0</v>
      </c>
      <c r="G45" s="90">
        <v>0</v>
      </c>
      <c r="H45" s="91">
        <v>1169293</v>
      </c>
      <c r="I45" s="92"/>
    </row>
    <row r="46" spans="1:9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 t="s">
        <v>393</v>
      </c>
      <c r="G46" s="90">
        <v>0</v>
      </c>
      <c r="H46" s="91">
        <v>0</v>
      </c>
      <c r="I46" s="92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 t="s">
        <v>393</v>
      </c>
      <c r="G47" s="90">
        <v>0</v>
      </c>
      <c r="H47" s="91">
        <v>0</v>
      </c>
      <c r="I47" s="133"/>
    </row>
    <row r="48" spans="1:9" hidden="1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 t="s">
        <v>393</v>
      </c>
      <c r="G48" s="90">
        <v>0</v>
      </c>
      <c r="H48" s="91">
        <v>0</v>
      </c>
      <c r="I48" s="92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9125971.4208923411</v>
      </c>
      <c r="G49" s="104">
        <f>SUM(G34:G48)</f>
        <v>0</v>
      </c>
      <c r="H49" s="106">
        <f>SUM(H34:H48)</f>
        <v>1310502</v>
      </c>
      <c r="I49" s="107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112"/>
    </row>
    <row r="51" spans="1:9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0</v>
      </c>
      <c r="G51" s="143">
        <v>0</v>
      </c>
      <c r="H51" s="111">
        <v>120000</v>
      </c>
      <c r="I51" s="92"/>
    </row>
    <row r="52" spans="1:9" hidden="1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 t="s">
        <v>393</v>
      </c>
      <c r="G52" s="143">
        <v>0</v>
      </c>
      <c r="H52" s="111"/>
      <c r="I52" s="92"/>
    </row>
    <row r="53" spans="1:9" hidden="1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 t="s">
        <v>393</v>
      </c>
      <c r="G53" s="143">
        <v>0</v>
      </c>
      <c r="H53" s="111"/>
      <c r="I53" s="92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v>0</v>
      </c>
      <c r="G54" s="143">
        <v>0</v>
      </c>
      <c r="H54" s="111">
        <v>1186378</v>
      </c>
      <c r="I54" s="92"/>
    </row>
    <row r="55" spans="1:9" hidden="1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 t="s">
        <v>393</v>
      </c>
      <c r="G55" s="143">
        <v>0</v>
      </c>
      <c r="H55" s="111">
        <v>0</v>
      </c>
      <c r="I55" s="92"/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 t="s">
        <v>393</v>
      </c>
      <c r="G56" s="143">
        <v>0</v>
      </c>
      <c r="H56" s="111">
        <v>0</v>
      </c>
      <c r="I56" s="92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0</v>
      </c>
      <c r="G57" s="104">
        <f t="shared" si="0"/>
        <v>0</v>
      </c>
      <c r="H57" s="106">
        <f t="shared" si="0"/>
        <v>1306378</v>
      </c>
      <c r="I57" s="107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112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 t="s">
        <v>393</v>
      </c>
      <c r="G59" s="143">
        <v>0</v>
      </c>
      <c r="H59" s="111">
        <v>0</v>
      </c>
      <c r="I59" s="92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 t="s">
        <v>393</v>
      </c>
      <c r="G60" s="143">
        <v>0</v>
      </c>
      <c r="H60" s="111">
        <v>0</v>
      </c>
      <c r="I60" s="92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 t="s">
        <v>393</v>
      </c>
      <c r="G61" s="143">
        <v>0</v>
      </c>
      <c r="H61" s="111">
        <v>0</v>
      </c>
      <c r="I61" s="92"/>
    </row>
    <row r="62" spans="1:9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0</v>
      </c>
      <c r="G62" s="143">
        <v>0</v>
      </c>
      <c r="H62" s="111">
        <v>779552</v>
      </c>
      <c r="I62" s="92"/>
    </row>
    <row r="63" spans="1:9" hidden="1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 t="s">
        <v>393</v>
      </c>
      <c r="G63" s="143">
        <v>0</v>
      </c>
      <c r="H63" s="111">
        <v>0</v>
      </c>
      <c r="I63" s="92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 t="s">
        <v>393</v>
      </c>
      <c r="G64" s="143">
        <v>0</v>
      </c>
      <c r="H64" s="111">
        <v>0</v>
      </c>
      <c r="I64" s="92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 t="s">
        <v>393</v>
      </c>
      <c r="G65" s="143">
        <v>0</v>
      </c>
      <c r="H65" s="111">
        <v>0</v>
      </c>
      <c r="I65" s="92"/>
    </row>
    <row r="66" spans="1:9" hidden="1" x14ac:dyDescent="0.2">
      <c r="A66" s="141" t="s">
        <v>416</v>
      </c>
      <c r="B66" s="153"/>
      <c r="C66" s="95" t="s">
        <v>417</v>
      </c>
      <c r="D66" s="143">
        <v>0</v>
      </c>
      <c r="E66" s="88">
        <v>0</v>
      </c>
      <c r="F66" s="144" t="s">
        <v>393</v>
      </c>
      <c r="G66" s="143">
        <v>0</v>
      </c>
      <c r="H66" s="111">
        <v>0</v>
      </c>
      <c r="I66" s="92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0</v>
      </c>
      <c r="G67" s="157">
        <f>SUM(G58:G66)</f>
        <v>0</v>
      </c>
      <c r="H67" s="159">
        <f>SUM(H58:H66)</f>
        <v>779552</v>
      </c>
      <c r="I67" s="92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92"/>
    </row>
    <row r="69" spans="1:9" hidden="1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0</v>
      </c>
      <c r="G69" s="143">
        <v>0</v>
      </c>
      <c r="H69" s="111">
        <v>0</v>
      </c>
      <c r="I69" s="92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0</v>
      </c>
      <c r="G70" s="143">
        <v>0</v>
      </c>
      <c r="H70" s="111">
        <v>4985025</v>
      </c>
      <c r="I70" s="92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0</v>
      </c>
      <c r="G71" s="157">
        <f t="shared" si="1"/>
        <v>0</v>
      </c>
      <c r="H71" s="159">
        <f>SUM(H69:H70)</f>
        <v>4985025</v>
      </c>
      <c r="I71" s="92"/>
    </row>
    <row r="72" spans="1:9" hidden="1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92"/>
    </row>
    <row r="73" spans="1:9" hidden="1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92"/>
    </row>
    <row r="74" spans="1:9" ht="15.75" thickBot="1" x14ac:dyDescent="0.3">
      <c r="A74" s="169" t="s">
        <v>423</v>
      </c>
      <c r="B74" s="170"/>
      <c r="C74" s="171"/>
      <c r="D74" s="172">
        <f>'PCFP - All Revenue AA-1 R-14'!D33+'PCFP - All Revenue AA-1 R-14'!D49+'PCFP - All Revenue AA-1 R-14'!D57+'PCFP - All Revenue AA-1 R-14'!D71+'PCFP - All Revenue AA-1 R-14'!D67</f>
        <v>0</v>
      </c>
      <c r="E74" s="172">
        <f>'PCFP - All Revenue AA-1 R-14'!E33+'PCFP - All Revenue AA-1 R-14'!E49+'PCFP - All Revenue AA-1 R-14'!E57+'PCFP - All Revenue AA-1 R-14'!E71+'PCFP - All Revenue AA-1 R-14'!E67</f>
        <v>0</v>
      </c>
      <c r="F74" s="173">
        <f>'PCFP - All Revenue AA-1 R-14'!F33+'PCFP - All Revenue AA-1 R-14'!F49+'PCFP - All Revenue AA-1 R-14'!F57+'PCFP - All Revenue AA-1 R-14'!F71+'PCFP - All Revenue AA-1 R-14'!F67</f>
        <v>9125971.4208923411</v>
      </c>
      <c r="G74" s="172">
        <f>'PCFP - All Revenue AA-1 R-14'!G33+'PCFP - All Revenue AA-1 R-14'!G49+'PCFP - All Revenue AA-1 R-14'!G57+'PCFP - All Revenue AA-1 R-14'!G71+'PCFP - All Revenue AA-1 R-14'!G67</f>
        <v>0</v>
      </c>
      <c r="H74" s="174">
        <f>'PCFP - All Revenue AA-1 R-14'!H33+'PCFP - All Revenue AA-1 R-14'!H49+'PCFP - All Revenue AA-1 R-14'!H57+'PCFP - All Revenue AA-1 R-14'!H71+'PCFP - All Revenue AA-1 R-14'!H67</f>
        <v>9737135</v>
      </c>
      <c r="I74" s="92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44"/>
      <c r="G75" s="143"/>
      <c r="H75" s="111">
        <v>0</v>
      </c>
      <c r="I75" s="92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44"/>
      <c r="G76" s="143"/>
      <c r="H76" s="111">
        <v>0</v>
      </c>
      <c r="I76" s="92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44"/>
      <c r="G77" s="143"/>
      <c r="H77" s="111">
        <v>0</v>
      </c>
      <c r="I77" s="92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92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7">
        <f t="shared" si="2"/>
        <v>0</v>
      </c>
      <c r="G79" s="187">
        <f t="shared" si="2"/>
        <v>0</v>
      </c>
      <c r="H79" s="187">
        <f>SUM(H75:H78)</f>
        <v>0</v>
      </c>
    </row>
    <row r="80" spans="1:9" x14ac:dyDescent="0.2">
      <c r="A80" s="189"/>
      <c r="B80" s="189"/>
      <c r="C80" s="190"/>
      <c r="D80" s="190"/>
      <c r="E80" s="190"/>
      <c r="F80" s="190"/>
      <c r="G80" s="190"/>
      <c r="H80" s="190"/>
    </row>
    <row r="81" spans="1:8" x14ac:dyDescent="0.2">
      <c r="A81" s="94"/>
      <c r="B81" s="94"/>
      <c r="C81" s="191" t="str">
        <f>C1</f>
        <v>Pershing County School District</v>
      </c>
      <c r="D81" s="190" t="s">
        <v>428</v>
      </c>
      <c r="E81" s="190"/>
      <c r="F81" s="190"/>
      <c r="G81" s="192" t="str">
        <f>"Budget Fiscal Year "&amp;TEXT('[14]Form 1'!$C$136, "mm/dd/yy")</f>
        <v>Budget Fiscal Year 2019-2020</v>
      </c>
      <c r="H81" s="190"/>
    </row>
    <row r="82" spans="1:8" x14ac:dyDescent="0.2">
      <c r="A82" s="98"/>
      <c r="B82" s="98"/>
      <c r="C82" s="193" t="s">
        <v>429</v>
      </c>
      <c r="D82" s="189" t="s">
        <v>430</v>
      </c>
      <c r="E82" s="190"/>
      <c r="F82" s="194"/>
      <c r="G82" s="192" t="s">
        <v>431</v>
      </c>
      <c r="H82" s="190"/>
    </row>
    <row r="83" spans="1:8" x14ac:dyDescent="0.2">
      <c r="A83" s="189"/>
      <c r="B83" s="189"/>
      <c r="C83" s="190"/>
      <c r="D83" s="190"/>
      <c r="E83" s="190"/>
      <c r="F83" s="195"/>
      <c r="G83" s="196"/>
      <c r="H83" s="197"/>
    </row>
    <row r="84" spans="1:8" x14ac:dyDescent="0.2">
      <c r="A84" s="189"/>
      <c r="B84" s="189"/>
      <c r="C84" s="190"/>
      <c r="D84" s="190"/>
      <c r="E84" s="190"/>
      <c r="H84" s="192"/>
    </row>
    <row r="85" spans="1:8" x14ac:dyDescent="0.2">
      <c r="A85" s="189"/>
      <c r="B85" s="189"/>
      <c r="C85" s="190"/>
      <c r="D85" s="190"/>
      <c r="E85" s="190"/>
      <c r="H85" s="192"/>
    </row>
  </sheetData>
  <pageMargins left="0.2" right="0.2" top="0.25" bottom="0.25" header="0.05" footer="0.05"/>
  <pageSetup paperSize="5" scale="67" fitToHeight="2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A0E8-7190-4B81-9D2E-2E44FA17E0D2}">
  <sheetPr>
    <tabColor rgb="FFFFFF00"/>
    <pageSetUpPr fitToPage="1"/>
  </sheetPr>
  <dimension ref="A1:L151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9.2851562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2939400</v>
      </c>
      <c r="D3" s="89">
        <v>1423480</v>
      </c>
      <c r="E3" s="89">
        <v>246300</v>
      </c>
      <c r="F3" s="89" t="s">
        <v>738</v>
      </c>
      <c r="G3" s="89" t="s">
        <v>739</v>
      </c>
      <c r="H3" s="89" t="s">
        <v>498</v>
      </c>
      <c r="I3" s="214" t="s">
        <v>451</v>
      </c>
      <c r="J3" s="89">
        <f>SUM(C3:I3)</f>
        <v>4609180</v>
      </c>
      <c r="K3" s="92"/>
    </row>
    <row r="4" spans="1:11" x14ac:dyDescent="0.2">
      <c r="A4" s="116">
        <v>200</v>
      </c>
      <c r="B4" s="95" t="s">
        <v>135</v>
      </c>
      <c r="C4" s="89" t="s">
        <v>451</v>
      </c>
      <c r="D4" s="89" t="s">
        <v>740</v>
      </c>
      <c r="E4" s="89" t="s">
        <v>449</v>
      </c>
      <c r="F4" s="89" t="s">
        <v>738</v>
      </c>
      <c r="G4" s="89" t="s">
        <v>739</v>
      </c>
      <c r="H4" s="89" t="s">
        <v>498</v>
      </c>
      <c r="I4" s="214" t="s">
        <v>451</v>
      </c>
      <c r="J4" s="89">
        <f t="shared" ref="J4:J67" si="0">SUM(C4:I4)</f>
        <v>0</v>
      </c>
      <c r="K4" s="92"/>
    </row>
    <row r="5" spans="1:11" x14ac:dyDescent="0.2">
      <c r="A5" s="210" t="s">
        <v>10</v>
      </c>
      <c r="B5" s="211" t="s">
        <v>136</v>
      </c>
      <c r="C5" s="89" t="s">
        <v>451</v>
      </c>
      <c r="D5" s="89" t="s">
        <v>740</v>
      </c>
      <c r="E5" s="89" t="s">
        <v>449</v>
      </c>
      <c r="F5" s="89" t="s">
        <v>738</v>
      </c>
      <c r="G5" s="89" t="s">
        <v>739</v>
      </c>
      <c r="H5" s="89" t="s">
        <v>498</v>
      </c>
      <c r="I5" s="214" t="s">
        <v>451</v>
      </c>
      <c r="J5" s="89">
        <f t="shared" si="0"/>
        <v>0</v>
      </c>
      <c r="K5" s="212"/>
    </row>
    <row r="6" spans="1:11" x14ac:dyDescent="0.2">
      <c r="A6" s="116">
        <v>270</v>
      </c>
      <c r="B6" s="95" t="s">
        <v>137</v>
      </c>
      <c r="C6" s="89" t="s">
        <v>451</v>
      </c>
      <c r="D6" s="89" t="s">
        <v>740</v>
      </c>
      <c r="E6" s="89" t="s">
        <v>449</v>
      </c>
      <c r="F6" s="89" t="s">
        <v>738</v>
      </c>
      <c r="G6" s="89" t="s">
        <v>739</v>
      </c>
      <c r="H6" s="89" t="s">
        <v>498</v>
      </c>
      <c r="I6" s="214" t="s">
        <v>451</v>
      </c>
      <c r="J6" s="89">
        <f t="shared" si="0"/>
        <v>0</v>
      </c>
      <c r="K6" s="92"/>
    </row>
    <row r="7" spans="1:11" x14ac:dyDescent="0.2">
      <c r="A7" s="210" t="s">
        <v>10</v>
      </c>
      <c r="B7" s="211" t="s">
        <v>138</v>
      </c>
      <c r="C7" s="89" t="s">
        <v>451</v>
      </c>
      <c r="D7" s="89" t="s">
        <v>740</v>
      </c>
      <c r="E7" s="89" t="s">
        <v>449</v>
      </c>
      <c r="F7" s="89" t="s">
        <v>738</v>
      </c>
      <c r="G7" s="89" t="s">
        <v>739</v>
      </c>
      <c r="H7" s="89" t="s">
        <v>498</v>
      </c>
      <c r="I7" s="214" t="s">
        <v>451</v>
      </c>
      <c r="J7" s="89">
        <f t="shared" si="0"/>
        <v>0</v>
      </c>
      <c r="K7" s="212"/>
    </row>
    <row r="8" spans="1:11" x14ac:dyDescent="0.2">
      <c r="A8" s="116">
        <v>300</v>
      </c>
      <c r="B8" s="95" t="s">
        <v>139</v>
      </c>
      <c r="C8" s="89">
        <v>80000</v>
      </c>
      <c r="D8" s="89">
        <v>35000</v>
      </c>
      <c r="E8" s="89">
        <v>5800</v>
      </c>
      <c r="F8" s="89" t="s">
        <v>738</v>
      </c>
      <c r="G8" s="89" t="s">
        <v>739</v>
      </c>
      <c r="H8" s="89" t="s">
        <v>498</v>
      </c>
      <c r="I8" s="214" t="s">
        <v>451</v>
      </c>
      <c r="J8" s="89">
        <f t="shared" si="0"/>
        <v>120800</v>
      </c>
      <c r="K8" s="92"/>
    </row>
    <row r="9" spans="1:11" x14ac:dyDescent="0.2">
      <c r="A9" s="116">
        <v>400</v>
      </c>
      <c r="B9" s="95" t="s">
        <v>140</v>
      </c>
      <c r="C9" s="89" t="s">
        <v>451</v>
      </c>
      <c r="D9" s="89" t="s">
        <v>740</v>
      </c>
      <c r="E9" s="89" t="s">
        <v>449</v>
      </c>
      <c r="F9" s="89" t="s">
        <v>738</v>
      </c>
      <c r="G9" s="89" t="s">
        <v>739</v>
      </c>
      <c r="H9" s="89" t="s">
        <v>498</v>
      </c>
      <c r="I9" s="214" t="s">
        <v>451</v>
      </c>
      <c r="J9" s="89">
        <f t="shared" si="0"/>
        <v>0</v>
      </c>
      <c r="K9" s="92"/>
    </row>
    <row r="10" spans="1:11" x14ac:dyDescent="0.2">
      <c r="A10" s="210" t="s">
        <v>10</v>
      </c>
      <c r="B10" s="211" t="s">
        <v>141</v>
      </c>
      <c r="C10" s="89" t="s">
        <v>451</v>
      </c>
      <c r="D10" s="89" t="s">
        <v>740</v>
      </c>
      <c r="E10" s="89" t="s">
        <v>449</v>
      </c>
      <c r="F10" s="89" t="s">
        <v>738</v>
      </c>
      <c r="G10" s="89" t="s">
        <v>739</v>
      </c>
      <c r="H10" s="89" t="s">
        <v>498</v>
      </c>
      <c r="I10" s="214" t="s">
        <v>451</v>
      </c>
      <c r="J10" s="89">
        <f t="shared" si="0"/>
        <v>0</v>
      </c>
      <c r="K10" s="212"/>
    </row>
    <row r="11" spans="1:11" x14ac:dyDescent="0.2">
      <c r="A11" s="210" t="s">
        <v>10</v>
      </c>
      <c r="B11" s="211" t="s">
        <v>142</v>
      </c>
      <c r="C11" s="89" t="s">
        <v>451</v>
      </c>
      <c r="D11" s="89" t="s">
        <v>740</v>
      </c>
      <c r="E11" s="89" t="s">
        <v>449</v>
      </c>
      <c r="F11" s="89" t="s">
        <v>738</v>
      </c>
      <c r="G11" s="89" t="s">
        <v>739</v>
      </c>
      <c r="H11" s="89" t="s">
        <v>498</v>
      </c>
      <c r="I11" s="214" t="s">
        <v>451</v>
      </c>
      <c r="J11" s="89">
        <f t="shared" si="0"/>
        <v>0</v>
      </c>
      <c r="K11" s="212"/>
    </row>
    <row r="12" spans="1:11" x14ac:dyDescent="0.2">
      <c r="A12" s="116">
        <v>440</v>
      </c>
      <c r="B12" s="95" t="s">
        <v>143</v>
      </c>
      <c r="C12" s="89" t="s">
        <v>451</v>
      </c>
      <c r="D12" s="89" t="s">
        <v>740</v>
      </c>
      <c r="E12" s="89" t="s">
        <v>449</v>
      </c>
      <c r="F12" s="89" t="s">
        <v>738</v>
      </c>
      <c r="G12" s="89" t="s">
        <v>739</v>
      </c>
      <c r="H12" s="89" t="s">
        <v>498</v>
      </c>
      <c r="I12" s="214" t="s">
        <v>451</v>
      </c>
      <c r="J12" s="89">
        <f t="shared" si="0"/>
        <v>0</v>
      </c>
      <c r="K12" s="92"/>
    </row>
    <row r="13" spans="1:11" x14ac:dyDescent="0.2">
      <c r="A13" s="116">
        <v>500</v>
      </c>
      <c r="B13" s="95" t="s">
        <v>144</v>
      </c>
      <c r="C13" s="89" t="s">
        <v>451</v>
      </c>
      <c r="D13" s="89" t="s">
        <v>740</v>
      </c>
      <c r="E13" s="89" t="s">
        <v>449</v>
      </c>
      <c r="F13" s="89" t="s">
        <v>738</v>
      </c>
      <c r="G13" s="89" t="s">
        <v>739</v>
      </c>
      <c r="H13" s="89" t="s">
        <v>498</v>
      </c>
      <c r="I13" s="214" t="s">
        <v>451</v>
      </c>
      <c r="J13" s="89">
        <f t="shared" si="0"/>
        <v>0</v>
      </c>
      <c r="K13" s="92"/>
    </row>
    <row r="14" spans="1:11" x14ac:dyDescent="0.2">
      <c r="A14" s="116">
        <v>600</v>
      </c>
      <c r="B14" s="95" t="s">
        <v>145</v>
      </c>
      <c r="C14" s="89" t="s">
        <v>451</v>
      </c>
      <c r="D14" s="89" t="s">
        <v>740</v>
      </c>
      <c r="E14" s="89" t="s">
        <v>449</v>
      </c>
      <c r="F14" s="89" t="s">
        <v>738</v>
      </c>
      <c r="G14" s="89" t="s">
        <v>739</v>
      </c>
      <c r="H14" s="89" t="s">
        <v>498</v>
      </c>
      <c r="I14" s="214" t="s">
        <v>451</v>
      </c>
      <c r="J14" s="89">
        <f t="shared" si="0"/>
        <v>0</v>
      </c>
      <c r="K14" s="92"/>
    </row>
    <row r="15" spans="1:11" x14ac:dyDescent="0.2">
      <c r="A15" s="116">
        <v>800</v>
      </c>
      <c r="B15" s="95" t="s">
        <v>146</v>
      </c>
      <c r="C15" s="89" t="s">
        <v>451</v>
      </c>
      <c r="D15" s="89" t="s">
        <v>740</v>
      </c>
      <c r="E15" s="89" t="s">
        <v>449</v>
      </c>
      <c r="F15" s="89" t="s">
        <v>738</v>
      </c>
      <c r="G15" s="89" t="s">
        <v>739</v>
      </c>
      <c r="H15" s="89" t="s">
        <v>498</v>
      </c>
      <c r="I15" s="214" t="s">
        <v>451</v>
      </c>
      <c r="J15" s="89">
        <f t="shared" si="0"/>
        <v>0</v>
      </c>
      <c r="K15" s="92"/>
    </row>
    <row r="16" spans="1:11" x14ac:dyDescent="0.2">
      <c r="A16" s="116">
        <v>910</v>
      </c>
      <c r="B16" s="95" t="s">
        <v>147</v>
      </c>
      <c r="C16" s="89" t="s">
        <v>451</v>
      </c>
      <c r="D16" s="89" t="s">
        <v>740</v>
      </c>
      <c r="E16" s="89" t="s">
        <v>449</v>
      </c>
      <c r="F16" s="89" t="s">
        <v>738</v>
      </c>
      <c r="G16" s="89" t="s">
        <v>739</v>
      </c>
      <c r="H16" s="89" t="s">
        <v>498</v>
      </c>
      <c r="I16" s="214" t="s">
        <v>451</v>
      </c>
      <c r="J16" s="89">
        <f t="shared" si="0"/>
        <v>0</v>
      </c>
      <c r="K16" s="92"/>
    </row>
    <row r="17" spans="1:11" x14ac:dyDescent="0.2">
      <c r="A17" s="116">
        <v>920</v>
      </c>
      <c r="B17" s="95" t="s">
        <v>148</v>
      </c>
      <c r="C17" s="89">
        <v>106200</v>
      </c>
      <c r="D17" s="89">
        <v>5250</v>
      </c>
      <c r="E17" s="89">
        <v>81300</v>
      </c>
      <c r="F17" s="89" t="s">
        <v>738</v>
      </c>
      <c r="G17" s="89" t="s">
        <v>739</v>
      </c>
      <c r="H17" s="89" t="s">
        <v>498</v>
      </c>
      <c r="I17" s="214" t="s">
        <v>451</v>
      </c>
      <c r="J17" s="89">
        <f t="shared" si="0"/>
        <v>192750</v>
      </c>
      <c r="K17" s="92"/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x14ac:dyDescent="0.25">
      <c r="A20" s="215" t="s">
        <v>443</v>
      </c>
      <c r="B20" s="216" t="s">
        <v>444</v>
      </c>
      <c r="C20" s="89" t="s">
        <v>451</v>
      </c>
      <c r="D20" s="89" t="s">
        <v>740</v>
      </c>
      <c r="E20" s="89" t="s">
        <v>449</v>
      </c>
      <c r="F20" s="89" t="s">
        <v>738</v>
      </c>
      <c r="G20" s="89" t="s">
        <v>739</v>
      </c>
      <c r="H20" s="89" t="s">
        <v>498</v>
      </c>
      <c r="I20" s="214" t="s">
        <v>451</v>
      </c>
      <c r="J20" s="89">
        <f t="shared" si="0"/>
        <v>0</v>
      </c>
      <c r="K20" s="92"/>
    </row>
    <row r="21" spans="1:11" x14ac:dyDescent="0.2">
      <c r="A21" s="116">
        <v>2100</v>
      </c>
      <c r="B21" s="95" t="s">
        <v>151</v>
      </c>
      <c r="C21" s="89">
        <v>51500</v>
      </c>
      <c r="D21" s="89">
        <v>31150</v>
      </c>
      <c r="E21" s="89">
        <v>10370</v>
      </c>
      <c r="F21" s="89" t="s">
        <v>738</v>
      </c>
      <c r="G21" s="89" t="s">
        <v>739</v>
      </c>
      <c r="H21" s="89" t="s">
        <v>498</v>
      </c>
      <c r="I21" s="214" t="s">
        <v>451</v>
      </c>
      <c r="J21" s="89">
        <f t="shared" si="0"/>
        <v>93020</v>
      </c>
      <c r="K21" s="92"/>
    </row>
    <row r="22" spans="1:11" x14ac:dyDescent="0.2">
      <c r="A22" s="116">
        <v>2200</v>
      </c>
      <c r="B22" s="95" t="s">
        <v>152</v>
      </c>
      <c r="C22" s="89" t="s">
        <v>451</v>
      </c>
      <c r="D22" s="89" t="s">
        <v>740</v>
      </c>
      <c r="E22" s="89" t="s">
        <v>449</v>
      </c>
      <c r="F22" s="89" t="s">
        <v>738</v>
      </c>
      <c r="G22" s="89" t="s">
        <v>739</v>
      </c>
      <c r="H22" s="89" t="s">
        <v>498</v>
      </c>
      <c r="I22" s="214" t="s">
        <v>451</v>
      </c>
      <c r="J22" s="89">
        <f t="shared" si="0"/>
        <v>0</v>
      </c>
      <c r="K22" s="92"/>
    </row>
    <row r="23" spans="1:11" x14ac:dyDescent="0.2">
      <c r="A23" s="116">
        <v>2300</v>
      </c>
      <c r="B23" s="95" t="s">
        <v>153</v>
      </c>
      <c r="C23" s="89">
        <v>160000</v>
      </c>
      <c r="D23" s="89">
        <v>65300</v>
      </c>
      <c r="E23" s="89">
        <v>53200</v>
      </c>
      <c r="F23" s="89" t="s">
        <v>738</v>
      </c>
      <c r="G23" s="89" t="s">
        <v>739</v>
      </c>
      <c r="H23" s="89" t="s">
        <v>498</v>
      </c>
      <c r="I23" s="214" t="s">
        <v>451</v>
      </c>
      <c r="J23" s="89">
        <f t="shared" si="0"/>
        <v>278500</v>
      </c>
      <c r="K23" s="92"/>
    </row>
    <row r="24" spans="1:11" x14ac:dyDescent="0.2">
      <c r="A24" s="116">
        <v>2400</v>
      </c>
      <c r="B24" s="95" t="s">
        <v>154</v>
      </c>
      <c r="C24" s="89">
        <v>428500</v>
      </c>
      <c r="D24" s="89">
        <v>203415</v>
      </c>
      <c r="E24" s="89">
        <v>8900</v>
      </c>
      <c r="F24" s="89" t="s">
        <v>738</v>
      </c>
      <c r="G24" s="89" t="s">
        <v>739</v>
      </c>
      <c r="H24" s="89" t="s">
        <v>498</v>
      </c>
      <c r="I24" s="214" t="s">
        <v>451</v>
      </c>
      <c r="J24" s="89">
        <f t="shared" si="0"/>
        <v>640815</v>
      </c>
      <c r="K24" s="92"/>
    </row>
    <row r="25" spans="1:11" x14ac:dyDescent="0.2">
      <c r="A25" s="116">
        <v>2500</v>
      </c>
      <c r="B25" s="95" t="s">
        <v>155</v>
      </c>
      <c r="C25" s="89">
        <v>354250</v>
      </c>
      <c r="D25" s="89">
        <v>280450</v>
      </c>
      <c r="E25" s="89">
        <v>270850</v>
      </c>
      <c r="F25" s="89" t="s">
        <v>738</v>
      </c>
      <c r="G25" s="89" t="s">
        <v>739</v>
      </c>
      <c r="H25" s="89" t="s">
        <v>498</v>
      </c>
      <c r="I25" s="214" t="s">
        <v>451</v>
      </c>
      <c r="J25" s="89">
        <f t="shared" si="0"/>
        <v>905550</v>
      </c>
      <c r="K25" s="92"/>
    </row>
    <row r="26" spans="1:11" x14ac:dyDescent="0.2">
      <c r="A26" s="116">
        <v>2600</v>
      </c>
      <c r="B26" s="95" t="s">
        <v>156</v>
      </c>
      <c r="C26" s="89">
        <v>432600</v>
      </c>
      <c r="D26" s="89">
        <v>260070</v>
      </c>
      <c r="E26" s="89">
        <v>568900</v>
      </c>
      <c r="F26" s="89" t="s">
        <v>738</v>
      </c>
      <c r="G26" s="89" t="s">
        <v>739</v>
      </c>
      <c r="H26" s="89" t="s">
        <v>498</v>
      </c>
      <c r="I26" s="214" t="s">
        <v>451</v>
      </c>
      <c r="J26" s="89">
        <f t="shared" si="0"/>
        <v>1261570</v>
      </c>
      <c r="K26" s="92"/>
    </row>
    <row r="27" spans="1:11" x14ac:dyDescent="0.2">
      <c r="A27" s="217">
        <v>2700</v>
      </c>
      <c r="B27" s="211" t="s">
        <v>157</v>
      </c>
      <c r="C27" s="89">
        <v>305100</v>
      </c>
      <c r="D27" s="89">
        <v>134825</v>
      </c>
      <c r="E27" s="89">
        <v>414800</v>
      </c>
      <c r="F27" s="89" t="s">
        <v>738</v>
      </c>
      <c r="G27" s="89" t="s">
        <v>739</v>
      </c>
      <c r="H27" s="89" t="s">
        <v>498</v>
      </c>
      <c r="I27" s="214" t="s">
        <v>451</v>
      </c>
      <c r="J27" s="89">
        <f t="shared" si="0"/>
        <v>854725</v>
      </c>
      <c r="K27" s="212"/>
    </row>
    <row r="28" spans="1:11" x14ac:dyDescent="0.2">
      <c r="A28" s="116">
        <v>2900</v>
      </c>
      <c r="B28" s="95" t="s">
        <v>158</v>
      </c>
      <c r="C28" s="89" t="s">
        <v>451</v>
      </c>
      <c r="D28" s="89" t="s">
        <v>740</v>
      </c>
      <c r="E28" s="89" t="s">
        <v>449</v>
      </c>
      <c r="F28" s="89" t="s">
        <v>738</v>
      </c>
      <c r="G28" s="89" t="s">
        <v>739</v>
      </c>
      <c r="H28" s="89" t="s">
        <v>498</v>
      </c>
      <c r="I28" s="214" t="s">
        <v>451</v>
      </c>
      <c r="J28" s="89">
        <f t="shared" si="0"/>
        <v>0</v>
      </c>
      <c r="K28" s="92"/>
    </row>
    <row r="29" spans="1:11" s="204" customFormat="1" ht="15" x14ac:dyDescent="0.25">
      <c r="A29" s="218">
        <v>3000</v>
      </c>
      <c r="B29" s="216" t="s">
        <v>159</v>
      </c>
      <c r="C29" s="89" t="s">
        <v>451</v>
      </c>
      <c r="D29" s="89" t="s">
        <v>740</v>
      </c>
      <c r="E29" s="89" t="s">
        <v>449</v>
      </c>
      <c r="F29" s="89" t="s">
        <v>738</v>
      </c>
      <c r="G29" s="89" t="s">
        <v>739</v>
      </c>
      <c r="H29" s="89" t="s">
        <v>498</v>
      </c>
      <c r="I29" s="214" t="s">
        <v>451</v>
      </c>
      <c r="J29" s="89">
        <f t="shared" si="0"/>
        <v>0</v>
      </c>
      <c r="K29" s="219"/>
    </row>
    <row r="30" spans="1:11" x14ac:dyDescent="0.2">
      <c r="A30" s="217">
        <v>3100</v>
      </c>
      <c r="B30" s="211" t="s">
        <v>160</v>
      </c>
      <c r="C30" s="89" t="s">
        <v>451</v>
      </c>
      <c r="D30" s="89" t="s">
        <v>740</v>
      </c>
      <c r="E30" s="89" t="s">
        <v>449</v>
      </c>
      <c r="F30" s="89" t="s">
        <v>738</v>
      </c>
      <c r="G30" s="89" t="s">
        <v>739</v>
      </c>
      <c r="H30" s="89" t="s">
        <v>498</v>
      </c>
      <c r="I30" s="214" t="s">
        <v>451</v>
      </c>
      <c r="J30" s="89">
        <f t="shared" si="0"/>
        <v>0</v>
      </c>
      <c r="K30" s="212"/>
    </row>
    <row r="31" spans="1:11" x14ac:dyDescent="0.2">
      <c r="A31" s="116">
        <v>3200</v>
      </c>
      <c r="B31" s="95" t="s">
        <v>161</v>
      </c>
      <c r="C31" s="89" t="s">
        <v>451</v>
      </c>
      <c r="D31" s="89" t="s">
        <v>740</v>
      </c>
      <c r="E31" s="89" t="s">
        <v>449</v>
      </c>
      <c r="F31" s="89" t="s">
        <v>738</v>
      </c>
      <c r="G31" s="89" t="s">
        <v>739</v>
      </c>
      <c r="H31" s="89" t="s">
        <v>498</v>
      </c>
      <c r="I31" s="214" t="s">
        <v>451</v>
      </c>
      <c r="J31" s="89">
        <f t="shared" si="0"/>
        <v>0</v>
      </c>
      <c r="K31" s="92"/>
    </row>
    <row r="32" spans="1:11" x14ac:dyDescent="0.2">
      <c r="A32" s="116">
        <v>3300</v>
      </c>
      <c r="B32" s="95" t="s">
        <v>162</v>
      </c>
      <c r="C32" s="89" t="s">
        <v>451</v>
      </c>
      <c r="D32" s="89" t="s">
        <v>740</v>
      </c>
      <c r="E32" s="89" t="s">
        <v>449</v>
      </c>
      <c r="F32" s="89" t="s">
        <v>738</v>
      </c>
      <c r="G32" s="89" t="s">
        <v>739</v>
      </c>
      <c r="H32" s="89" t="s">
        <v>498</v>
      </c>
      <c r="I32" s="214" t="s">
        <v>451</v>
      </c>
      <c r="J32" s="89">
        <f t="shared" si="0"/>
        <v>0</v>
      </c>
      <c r="K32" s="92"/>
    </row>
    <row r="33" spans="1:11" s="223" customFormat="1" x14ac:dyDescent="0.2">
      <c r="A33" s="220">
        <v>4100</v>
      </c>
      <c r="B33" s="221" t="s">
        <v>163</v>
      </c>
      <c r="C33" s="89" t="s">
        <v>451</v>
      </c>
      <c r="D33" s="89" t="s">
        <v>740</v>
      </c>
      <c r="E33" s="89">
        <v>20000</v>
      </c>
      <c r="F33" s="89" t="s">
        <v>738</v>
      </c>
      <c r="G33" s="89" t="s">
        <v>739</v>
      </c>
      <c r="H33" s="89" t="s">
        <v>498</v>
      </c>
      <c r="I33" s="214" t="s">
        <v>451</v>
      </c>
      <c r="J33" s="89">
        <f t="shared" si="0"/>
        <v>20000</v>
      </c>
      <c r="K33" s="222"/>
    </row>
    <row r="34" spans="1:11" s="225" customFormat="1" ht="15" x14ac:dyDescent="0.25">
      <c r="A34" s="220">
        <v>4000</v>
      </c>
      <c r="B34" s="221" t="s">
        <v>164</v>
      </c>
      <c r="C34" s="89" t="s">
        <v>451</v>
      </c>
      <c r="D34" s="89" t="s">
        <v>740</v>
      </c>
      <c r="E34" s="89" t="s">
        <v>449</v>
      </c>
      <c r="F34" s="89" t="s">
        <v>738</v>
      </c>
      <c r="G34" s="89" t="s">
        <v>739</v>
      </c>
      <c r="H34" s="89" t="s">
        <v>498</v>
      </c>
      <c r="I34" s="214" t="s">
        <v>451</v>
      </c>
      <c r="J34" s="89">
        <f t="shared" si="0"/>
        <v>0</v>
      </c>
      <c r="K34" s="224"/>
    </row>
    <row r="35" spans="1:11" s="223" customFormat="1" x14ac:dyDescent="0.2">
      <c r="A35" s="220">
        <v>4200</v>
      </c>
      <c r="B35" s="221" t="s">
        <v>165</v>
      </c>
      <c r="C35" s="89" t="s">
        <v>451</v>
      </c>
      <c r="D35" s="89" t="s">
        <v>740</v>
      </c>
      <c r="E35" s="89" t="s">
        <v>449</v>
      </c>
      <c r="F35" s="89" t="s">
        <v>738</v>
      </c>
      <c r="G35" s="89" t="s">
        <v>739</v>
      </c>
      <c r="H35" s="89" t="s">
        <v>498</v>
      </c>
      <c r="I35" s="214" t="s">
        <v>451</v>
      </c>
      <c r="J35" s="89">
        <f t="shared" si="0"/>
        <v>0</v>
      </c>
      <c r="K35" s="222"/>
    </row>
    <row r="36" spans="1:11" s="223" customFormat="1" x14ac:dyDescent="0.2">
      <c r="A36" s="220">
        <v>4300</v>
      </c>
      <c r="B36" s="221" t="s">
        <v>166</v>
      </c>
      <c r="C36" s="89" t="s">
        <v>451</v>
      </c>
      <c r="D36" s="89" t="s">
        <v>740</v>
      </c>
      <c r="E36" s="89" t="s">
        <v>449</v>
      </c>
      <c r="F36" s="89" t="s">
        <v>738</v>
      </c>
      <c r="G36" s="89" t="s">
        <v>739</v>
      </c>
      <c r="H36" s="89" t="s">
        <v>498</v>
      </c>
      <c r="I36" s="214" t="s">
        <v>451</v>
      </c>
      <c r="J36" s="89">
        <f t="shared" si="0"/>
        <v>0</v>
      </c>
      <c r="K36" s="222"/>
    </row>
    <row r="37" spans="1:11" s="223" customFormat="1" x14ac:dyDescent="0.2">
      <c r="A37" s="220">
        <v>4400</v>
      </c>
      <c r="B37" s="221" t="s">
        <v>167</v>
      </c>
      <c r="C37" s="89" t="s">
        <v>451</v>
      </c>
      <c r="D37" s="89" t="s">
        <v>740</v>
      </c>
      <c r="E37" s="89" t="s">
        <v>449</v>
      </c>
      <c r="F37" s="89" t="s">
        <v>738</v>
      </c>
      <c r="G37" s="89" t="s">
        <v>739</v>
      </c>
      <c r="H37" s="89" t="s">
        <v>498</v>
      </c>
      <c r="I37" s="214" t="s">
        <v>451</v>
      </c>
      <c r="J37" s="89">
        <f t="shared" si="0"/>
        <v>0</v>
      </c>
      <c r="K37" s="222"/>
    </row>
    <row r="38" spans="1:11" s="223" customFormat="1" x14ac:dyDescent="0.2">
      <c r="A38" s="220">
        <v>4500</v>
      </c>
      <c r="B38" s="221" t="s">
        <v>168</v>
      </c>
      <c r="C38" s="89" t="s">
        <v>451</v>
      </c>
      <c r="D38" s="89" t="s">
        <v>740</v>
      </c>
      <c r="E38" s="89" t="s">
        <v>449</v>
      </c>
      <c r="F38" s="89" t="s">
        <v>738</v>
      </c>
      <c r="G38" s="89" t="s">
        <v>739</v>
      </c>
      <c r="H38" s="89" t="s">
        <v>498</v>
      </c>
      <c r="I38" s="214" t="s">
        <v>451</v>
      </c>
      <c r="J38" s="89">
        <f t="shared" si="0"/>
        <v>0</v>
      </c>
      <c r="K38" s="222"/>
    </row>
    <row r="39" spans="1:11" s="223" customFormat="1" x14ac:dyDescent="0.2">
      <c r="A39" s="220">
        <v>4600</v>
      </c>
      <c r="B39" s="221" t="s">
        <v>169</v>
      </c>
      <c r="C39" s="89" t="s">
        <v>451</v>
      </c>
      <c r="D39" s="89" t="s">
        <v>740</v>
      </c>
      <c r="E39" s="89" t="s">
        <v>449</v>
      </c>
      <c r="F39" s="89" t="s">
        <v>738</v>
      </c>
      <c r="G39" s="89" t="s">
        <v>739</v>
      </c>
      <c r="H39" s="89" t="s">
        <v>498</v>
      </c>
      <c r="I39" s="214" t="s">
        <v>451</v>
      </c>
      <c r="J39" s="89">
        <f t="shared" si="0"/>
        <v>0</v>
      </c>
      <c r="K39" s="222"/>
    </row>
    <row r="40" spans="1:11" s="223" customFormat="1" x14ac:dyDescent="0.2">
      <c r="A40" s="220">
        <v>4700</v>
      </c>
      <c r="B40" s="221" t="s">
        <v>170</v>
      </c>
      <c r="C40" s="89" t="s">
        <v>451</v>
      </c>
      <c r="D40" s="89" t="s">
        <v>740</v>
      </c>
      <c r="E40" s="89" t="s">
        <v>449</v>
      </c>
      <c r="F40" s="89" t="s">
        <v>738</v>
      </c>
      <c r="G40" s="89" t="s">
        <v>739</v>
      </c>
      <c r="H40" s="89" t="s">
        <v>498</v>
      </c>
      <c r="I40" s="214" t="s">
        <v>451</v>
      </c>
      <c r="J40" s="89">
        <f t="shared" si="0"/>
        <v>0</v>
      </c>
      <c r="K40" s="222"/>
    </row>
    <row r="41" spans="1:11" s="223" customFormat="1" x14ac:dyDescent="0.2">
      <c r="A41" s="220">
        <v>4900</v>
      </c>
      <c r="B41" s="221" t="s">
        <v>171</v>
      </c>
      <c r="C41" s="89" t="s">
        <v>451</v>
      </c>
      <c r="D41" s="89" t="s">
        <v>740</v>
      </c>
      <c r="E41" s="89" t="s">
        <v>449</v>
      </c>
      <c r="F41" s="89" t="s">
        <v>738</v>
      </c>
      <c r="G41" s="89" t="s">
        <v>739</v>
      </c>
      <c r="H41" s="89" t="s">
        <v>498</v>
      </c>
      <c r="I41" s="214" t="s">
        <v>451</v>
      </c>
      <c r="J41" s="89">
        <f t="shared" si="0"/>
        <v>0</v>
      </c>
      <c r="K41" s="222"/>
    </row>
    <row r="42" spans="1:11" x14ac:dyDescent="0.2">
      <c r="A42" s="220">
        <v>5000</v>
      </c>
      <c r="B42" s="226" t="s">
        <v>172</v>
      </c>
      <c r="C42" s="89" t="s">
        <v>451</v>
      </c>
      <c r="D42" s="89" t="s">
        <v>740</v>
      </c>
      <c r="E42" s="89" t="s">
        <v>449</v>
      </c>
      <c r="F42" s="89" t="s">
        <v>738</v>
      </c>
      <c r="G42" s="89" t="s">
        <v>739</v>
      </c>
      <c r="H42" s="89" t="s">
        <v>498</v>
      </c>
      <c r="I42" s="214" t="s">
        <v>451</v>
      </c>
      <c r="J42" s="89">
        <f t="shared" si="0"/>
        <v>0</v>
      </c>
      <c r="K42" s="92"/>
    </row>
    <row r="43" spans="1:11" x14ac:dyDescent="0.2">
      <c r="A43" s="220">
        <v>5000</v>
      </c>
      <c r="B43" s="226" t="s">
        <v>173</v>
      </c>
      <c r="C43" s="89" t="s">
        <v>451</v>
      </c>
      <c r="D43" s="89" t="s">
        <v>740</v>
      </c>
      <c r="E43" s="89" t="s">
        <v>449</v>
      </c>
      <c r="F43" s="89" t="s">
        <v>738</v>
      </c>
      <c r="G43" s="89" t="s">
        <v>739</v>
      </c>
      <c r="H43" s="89" t="s">
        <v>498</v>
      </c>
      <c r="I43" s="214" t="s">
        <v>451</v>
      </c>
      <c r="J43" s="89">
        <f t="shared" si="0"/>
        <v>0</v>
      </c>
      <c r="K43" s="92"/>
    </row>
    <row r="44" spans="1:11" x14ac:dyDescent="0.2">
      <c r="A44" s="220">
        <v>6100</v>
      </c>
      <c r="B44" s="226" t="s">
        <v>174</v>
      </c>
      <c r="C44" s="89" t="s">
        <v>451</v>
      </c>
      <c r="D44" s="89" t="s">
        <v>740</v>
      </c>
      <c r="E44" s="89" t="s">
        <v>449</v>
      </c>
      <c r="F44" s="89" t="s">
        <v>738</v>
      </c>
      <c r="G44" s="89" t="s">
        <v>739</v>
      </c>
      <c r="H44" s="89" t="s">
        <v>498</v>
      </c>
      <c r="I44" s="214" t="s">
        <v>451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89" t="s">
        <v>451</v>
      </c>
      <c r="D45" s="89" t="s">
        <v>740</v>
      </c>
      <c r="E45" s="89">
        <v>662755</v>
      </c>
      <c r="F45" s="89" t="s">
        <v>738</v>
      </c>
      <c r="G45" s="89" t="s">
        <v>739</v>
      </c>
      <c r="H45" s="89" t="s">
        <v>498</v>
      </c>
      <c r="I45" s="214" t="s">
        <v>451</v>
      </c>
      <c r="J45" s="89">
        <f t="shared" si="0"/>
        <v>662755</v>
      </c>
      <c r="K45" s="92"/>
    </row>
    <row r="46" spans="1:11" x14ac:dyDescent="0.2">
      <c r="A46" s="116">
        <v>6300</v>
      </c>
      <c r="B46" s="95" t="s">
        <v>176</v>
      </c>
      <c r="C46" s="89" t="s">
        <v>451</v>
      </c>
      <c r="D46" s="89" t="s">
        <v>740</v>
      </c>
      <c r="E46" s="89" t="s">
        <v>449</v>
      </c>
      <c r="F46" s="89" t="s">
        <v>738</v>
      </c>
      <c r="G46" s="89" t="s">
        <v>739</v>
      </c>
      <c r="H46" s="89" t="s">
        <v>498</v>
      </c>
      <c r="I46" s="214" t="s">
        <v>451</v>
      </c>
      <c r="J46" s="89">
        <f t="shared" si="0"/>
        <v>0</v>
      </c>
      <c r="K46" s="92"/>
    </row>
    <row r="47" spans="1:11" x14ac:dyDescent="0.2">
      <c r="A47" s="116">
        <v>8000</v>
      </c>
      <c r="B47" s="227" t="s">
        <v>177</v>
      </c>
      <c r="C47" s="89" t="s">
        <v>451</v>
      </c>
      <c r="D47" s="89" t="s">
        <v>740</v>
      </c>
      <c r="E47" s="89">
        <v>1899825</v>
      </c>
      <c r="F47" s="89" t="s">
        <v>738</v>
      </c>
      <c r="G47" s="89" t="s">
        <v>739</v>
      </c>
      <c r="H47" s="89" t="s">
        <v>498</v>
      </c>
      <c r="I47" s="214" t="s">
        <v>451</v>
      </c>
      <c r="J47" s="89">
        <f t="shared" si="0"/>
        <v>1899825</v>
      </c>
      <c r="K47" s="92"/>
    </row>
    <row r="48" spans="1:11" x14ac:dyDescent="0.2">
      <c r="A48" s="116"/>
      <c r="B48" s="227" t="s">
        <v>445</v>
      </c>
      <c r="C48" s="89" t="s">
        <v>451</v>
      </c>
      <c r="D48" s="89" t="s">
        <v>740</v>
      </c>
      <c r="E48" s="89" t="s">
        <v>449</v>
      </c>
      <c r="F48" s="89" t="s">
        <v>738</v>
      </c>
      <c r="G48" s="89" t="s">
        <v>739</v>
      </c>
      <c r="H48" s="89" t="s">
        <v>498</v>
      </c>
      <c r="I48" s="214" t="s">
        <v>451</v>
      </c>
      <c r="J48" s="89">
        <f t="shared" si="0"/>
        <v>0</v>
      </c>
      <c r="K48" s="92"/>
    </row>
    <row r="49" spans="1:11" x14ac:dyDescent="0.2">
      <c r="A49" s="229"/>
      <c r="B49" s="100" t="s">
        <v>446</v>
      </c>
      <c r="C49" s="89" t="s">
        <v>451</v>
      </c>
      <c r="D49" s="89" t="s">
        <v>740</v>
      </c>
      <c r="E49" s="89" t="s">
        <v>449</v>
      </c>
      <c r="F49" s="89" t="s">
        <v>738</v>
      </c>
      <c r="G49" s="89" t="s">
        <v>739</v>
      </c>
      <c r="H49" s="89" t="s">
        <v>498</v>
      </c>
      <c r="I49" s="214" t="s">
        <v>451</v>
      </c>
      <c r="J49" s="89">
        <f t="shared" si="0"/>
        <v>0</v>
      </c>
      <c r="K49" s="92"/>
    </row>
    <row r="50" spans="1:11" ht="15" thickBot="1" x14ac:dyDescent="0.25">
      <c r="A50" s="230"/>
      <c r="B50" s="231" t="s">
        <v>255</v>
      </c>
      <c r="C50" s="232" t="s">
        <v>451</v>
      </c>
      <c r="D50" s="232" t="s">
        <v>740</v>
      </c>
      <c r="E50" s="232" t="s">
        <v>449</v>
      </c>
      <c r="F50" s="232" t="s">
        <v>738</v>
      </c>
      <c r="G50" s="232" t="s">
        <v>739</v>
      </c>
      <c r="H50" s="232" t="s">
        <v>498</v>
      </c>
      <c r="I50" s="316" t="s">
        <v>451</v>
      </c>
      <c r="J50" s="232">
        <f t="shared" si="0"/>
        <v>0</v>
      </c>
      <c r="K50" s="233"/>
    </row>
    <row r="51" spans="1:11" ht="15.75" thickBot="1" x14ac:dyDescent="0.3">
      <c r="A51" s="234"/>
      <c r="B51" s="235" t="s">
        <v>447</v>
      </c>
      <c r="C51" s="236">
        <f>SUM(C2:C50)</f>
        <v>4857550</v>
      </c>
      <c r="D51" s="236">
        <f>SUM(D2:D50)</f>
        <v>2438940</v>
      </c>
      <c r="E51" s="236">
        <f>SUM(E2:E50)</f>
        <v>4243000</v>
      </c>
      <c r="F51" s="236">
        <f t="shared" ref="F51:I51" si="1">SUM(F2:F50)</f>
        <v>0</v>
      </c>
      <c r="G51" s="236">
        <f t="shared" si="1"/>
        <v>0</v>
      </c>
      <c r="H51" s="236">
        <f t="shared" si="1"/>
        <v>0</v>
      </c>
      <c r="I51" s="237">
        <f t="shared" si="1"/>
        <v>0</v>
      </c>
      <c r="J51" s="236">
        <f t="shared" si="0"/>
        <v>11539490</v>
      </c>
      <c r="K51" s="239"/>
    </row>
    <row r="52" spans="1:11" ht="15" x14ac:dyDescent="0.25">
      <c r="A52" s="218" t="s">
        <v>448</v>
      </c>
      <c r="B52" s="95"/>
      <c r="C52" s="240" t="s">
        <v>451</v>
      </c>
      <c r="D52" s="240" t="s">
        <v>740</v>
      </c>
      <c r="E52" s="240">
        <v>1204552</v>
      </c>
      <c r="F52" s="240" t="s">
        <v>738</v>
      </c>
      <c r="G52" s="240" t="s">
        <v>739</v>
      </c>
      <c r="H52" s="240">
        <v>429000</v>
      </c>
      <c r="I52" s="241" t="s">
        <v>451</v>
      </c>
      <c r="J52" s="144">
        <f t="shared" si="0"/>
        <v>1633552</v>
      </c>
      <c r="K52" s="112"/>
    </row>
    <row r="53" spans="1:11" ht="15.75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233"/>
    </row>
    <row r="54" spans="1:11" ht="20.25" customHeight="1" thickBot="1" x14ac:dyDescent="0.3">
      <c r="A54" s="245" t="s">
        <v>454</v>
      </c>
      <c r="B54" s="246"/>
      <c r="C54" s="247">
        <f>SUM(C51:C53)</f>
        <v>4857550</v>
      </c>
      <c r="D54" s="247">
        <f t="shared" ref="D54:H54" si="2">SUM(D51:D53)</f>
        <v>2438940</v>
      </c>
      <c r="E54" s="247">
        <f t="shared" si="2"/>
        <v>5447552</v>
      </c>
      <c r="F54" s="247">
        <f t="shared" si="2"/>
        <v>0</v>
      </c>
      <c r="G54" s="247">
        <f t="shared" si="2"/>
        <v>0</v>
      </c>
      <c r="H54" s="247">
        <f t="shared" si="2"/>
        <v>429000</v>
      </c>
      <c r="I54" s="248">
        <f>SUM(I51:I53)</f>
        <v>0</v>
      </c>
      <c r="J54" s="236">
        <f>SUM(C54:I54)</f>
        <v>13173042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hidden="1" x14ac:dyDescent="0.25">
      <c r="A56" s="116"/>
      <c r="B56" s="95" t="s">
        <v>179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214">
        <v>0</v>
      </c>
      <c r="J56" s="89">
        <f t="shared" si="0"/>
        <v>0</v>
      </c>
      <c r="K56" s="249"/>
    </row>
    <row r="57" spans="1:11" ht="15" x14ac:dyDescent="0.25">
      <c r="A57" s="116"/>
      <c r="B57" s="95" t="s">
        <v>145</v>
      </c>
      <c r="C57" s="89">
        <v>63390</v>
      </c>
      <c r="D57" s="89">
        <v>29169.97</v>
      </c>
      <c r="E57" s="89">
        <v>0</v>
      </c>
      <c r="F57" s="89">
        <v>0</v>
      </c>
      <c r="G57" s="89">
        <v>0</v>
      </c>
      <c r="H57" s="89">
        <v>0</v>
      </c>
      <c r="I57" s="214">
        <v>0</v>
      </c>
      <c r="J57" s="89">
        <f t="shared" si="0"/>
        <v>92559.97</v>
      </c>
      <c r="K57" s="249"/>
    </row>
    <row r="58" spans="1:11" ht="15" x14ac:dyDescent="0.25">
      <c r="A58" s="116"/>
      <c r="B58" s="95" t="s">
        <v>180</v>
      </c>
      <c r="C58" s="89">
        <v>641750</v>
      </c>
      <c r="D58" s="89">
        <v>270820</v>
      </c>
      <c r="E58" s="89">
        <v>164163</v>
      </c>
      <c r="F58" s="89" t="s">
        <v>738</v>
      </c>
      <c r="G58" s="89" t="s">
        <v>739</v>
      </c>
      <c r="H58" s="89" t="s">
        <v>498</v>
      </c>
      <c r="I58" s="214" t="s">
        <v>451</v>
      </c>
      <c r="J58" s="89">
        <f t="shared" si="0"/>
        <v>1076733</v>
      </c>
      <c r="K58" s="249"/>
    </row>
    <row r="59" spans="1:11" ht="15" hidden="1" x14ac:dyDescent="0.25">
      <c r="A59" s="116"/>
      <c r="B59" s="95" t="s">
        <v>181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214">
        <v>0</v>
      </c>
      <c r="J59" s="89">
        <f t="shared" si="0"/>
        <v>0</v>
      </c>
      <c r="K59" s="249"/>
    </row>
    <row r="60" spans="1:11" ht="15" hidden="1" x14ac:dyDescent="0.25">
      <c r="A60" s="116"/>
      <c r="B60" s="95" t="s">
        <v>182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214">
        <v>0</v>
      </c>
      <c r="J60" s="89">
        <f t="shared" si="0"/>
        <v>0</v>
      </c>
      <c r="K60" s="249"/>
    </row>
    <row r="61" spans="1:11" ht="15" hidden="1" x14ac:dyDescent="0.25">
      <c r="A61" s="251"/>
      <c r="B61" s="100" t="s">
        <v>183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214">
        <v>0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184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214">
        <v>0</v>
      </c>
      <c r="J62" s="89">
        <f t="shared" si="0"/>
        <v>0</v>
      </c>
      <c r="K62" s="249"/>
    </row>
    <row r="63" spans="1:11" ht="15" hidden="1" x14ac:dyDescent="0.25">
      <c r="A63" s="251"/>
      <c r="B63" s="100" t="s">
        <v>185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214">
        <v>0</v>
      </c>
      <c r="J63" s="89">
        <f t="shared" si="0"/>
        <v>0</v>
      </c>
      <c r="K63" s="249"/>
    </row>
    <row r="64" spans="1:11" ht="15" hidden="1" x14ac:dyDescent="0.25">
      <c r="A64" s="251"/>
      <c r="B64" s="100" t="s">
        <v>186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214">
        <v>0</v>
      </c>
      <c r="J64" s="89">
        <f t="shared" si="0"/>
        <v>0</v>
      </c>
      <c r="K64" s="249"/>
    </row>
    <row r="65" spans="1:11" ht="15" hidden="1" x14ac:dyDescent="0.25">
      <c r="A65" s="251"/>
      <c r="B65" s="100" t="s">
        <v>187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214">
        <v>0</v>
      </c>
      <c r="J65" s="89">
        <f t="shared" si="0"/>
        <v>0</v>
      </c>
      <c r="K65" s="249"/>
    </row>
    <row r="66" spans="1:11" ht="15" x14ac:dyDescent="0.25">
      <c r="A66" s="251"/>
      <c r="B66" s="100" t="s">
        <v>188</v>
      </c>
      <c r="C66" s="89">
        <v>686000</v>
      </c>
      <c r="D66" s="89">
        <v>0</v>
      </c>
      <c r="E66" s="89">
        <v>0</v>
      </c>
      <c r="F66" s="89">
        <v>0</v>
      </c>
      <c r="G66" s="89">
        <v>0</v>
      </c>
      <c r="H66" s="89">
        <v>1526516</v>
      </c>
      <c r="I66" s="214">
        <v>0</v>
      </c>
      <c r="J66" s="89">
        <f t="shared" si="0"/>
        <v>2212516</v>
      </c>
      <c r="K66" s="249"/>
    </row>
    <row r="67" spans="1:11" ht="15" hidden="1" x14ac:dyDescent="0.25">
      <c r="A67" s="251"/>
      <c r="B67" s="100" t="s">
        <v>189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214">
        <v>0</v>
      </c>
      <c r="J67" s="89">
        <f t="shared" si="0"/>
        <v>0</v>
      </c>
      <c r="K67" s="249"/>
    </row>
    <row r="68" spans="1:11" ht="15" hidden="1" x14ac:dyDescent="0.25">
      <c r="A68" s="116"/>
      <c r="B68" s="95" t="s">
        <v>190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214">
        <v>0</v>
      </c>
      <c r="J68" s="89">
        <f t="shared" ref="J68:J131" si="3">SUM(C68:I68)</f>
        <v>0</v>
      </c>
      <c r="K68" s="249"/>
    </row>
    <row r="69" spans="1:11" ht="15" x14ac:dyDescent="0.25">
      <c r="A69" s="116"/>
      <c r="B69" s="95" t="s">
        <v>191</v>
      </c>
      <c r="C69" s="89">
        <v>168035</v>
      </c>
      <c r="D69" s="89">
        <v>74346</v>
      </c>
      <c r="E69" s="89">
        <v>0</v>
      </c>
      <c r="F69" s="89">
        <v>0</v>
      </c>
      <c r="G69" s="89">
        <v>0</v>
      </c>
      <c r="H69" s="89">
        <v>0</v>
      </c>
      <c r="I69" s="214">
        <v>0</v>
      </c>
      <c r="J69" s="89">
        <f t="shared" si="3"/>
        <v>242381</v>
      </c>
      <c r="K69" s="249"/>
    </row>
    <row r="70" spans="1:11" ht="15" hidden="1" x14ac:dyDescent="0.25">
      <c r="A70" s="116"/>
      <c r="B70" s="95" t="s">
        <v>192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214">
        <v>0</v>
      </c>
      <c r="J70" s="89">
        <f t="shared" si="3"/>
        <v>0</v>
      </c>
      <c r="K70" s="249"/>
    </row>
    <row r="71" spans="1:11" ht="15" hidden="1" x14ac:dyDescent="0.25">
      <c r="A71" s="116"/>
      <c r="B71" s="95" t="s">
        <v>193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214">
        <v>0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198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214">
        <v>0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200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201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214">
        <v>0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202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214">
        <v>0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203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214">
        <v>0</v>
      </c>
      <c r="J81" s="89">
        <f t="shared" si="3"/>
        <v>0</v>
      </c>
      <c r="K81" s="249"/>
    </row>
    <row r="82" spans="1:12" ht="15" x14ac:dyDescent="0.25">
      <c r="A82" s="116"/>
      <c r="B82" s="95" t="s">
        <v>204</v>
      </c>
      <c r="C82" s="89">
        <v>472511</v>
      </c>
      <c r="D82" s="89">
        <v>252419</v>
      </c>
      <c r="E82" s="89">
        <v>236448</v>
      </c>
      <c r="F82" s="89">
        <v>0</v>
      </c>
      <c r="G82" s="89">
        <v>0</v>
      </c>
      <c r="H82" s="89">
        <v>0</v>
      </c>
      <c r="I82" s="214">
        <v>0</v>
      </c>
      <c r="J82" s="89">
        <f t="shared" si="3"/>
        <v>961378</v>
      </c>
      <c r="K82" s="249"/>
    </row>
    <row r="83" spans="1:12" ht="15" hidden="1" x14ac:dyDescent="0.25">
      <c r="A83" s="116"/>
      <c r="B83" s="95" t="s">
        <v>205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214">
        <v>0</v>
      </c>
      <c r="J83" s="89">
        <f t="shared" si="3"/>
        <v>0</v>
      </c>
      <c r="K83" s="249"/>
    </row>
    <row r="84" spans="1:12" hidden="1" x14ac:dyDescent="0.2">
      <c r="A84" s="116"/>
      <c r="B84" s="95" t="s">
        <v>206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214">
        <v>0</v>
      </c>
      <c r="J84" s="89">
        <f t="shared" si="3"/>
        <v>0</v>
      </c>
      <c r="K84" s="252"/>
    </row>
    <row r="85" spans="1:12" hidden="1" x14ac:dyDescent="0.2">
      <c r="A85" s="116"/>
      <c r="B85" s="95" t="s">
        <v>207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214">
        <v>0</v>
      </c>
      <c r="J85" s="89">
        <f t="shared" si="3"/>
        <v>0</v>
      </c>
      <c r="K85" s="252"/>
    </row>
    <row r="86" spans="1:12" ht="15" hidden="1" x14ac:dyDescent="0.25">
      <c r="A86" s="116"/>
      <c r="B86" s="95" t="s">
        <v>208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214">
        <v>0</v>
      </c>
      <c r="J86" s="89">
        <f t="shared" si="3"/>
        <v>0</v>
      </c>
      <c r="K86" s="249"/>
    </row>
    <row r="87" spans="1:12" ht="15" hidden="1" x14ac:dyDescent="0.25">
      <c r="A87" s="116"/>
      <c r="B87" s="95" t="s">
        <v>209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214">
        <v>0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210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214">
        <v>0</v>
      </c>
      <c r="J88" s="89">
        <f t="shared" si="3"/>
        <v>0</v>
      </c>
      <c r="K88" s="249"/>
      <c r="L88" s="77"/>
    </row>
    <row r="89" spans="1:12" ht="15" x14ac:dyDescent="0.25">
      <c r="A89" s="116"/>
      <c r="B89" s="95" t="s">
        <v>211</v>
      </c>
      <c r="C89" s="89">
        <v>101200</v>
      </c>
      <c r="D89" s="89">
        <v>69225</v>
      </c>
      <c r="E89" s="89">
        <v>182920</v>
      </c>
      <c r="F89" s="89">
        <v>0</v>
      </c>
      <c r="G89" s="89">
        <v>0</v>
      </c>
      <c r="H89" s="89">
        <v>0</v>
      </c>
      <c r="I89" s="214">
        <v>0</v>
      </c>
      <c r="J89" s="89">
        <f t="shared" si="3"/>
        <v>353345</v>
      </c>
      <c r="K89" s="249"/>
      <c r="L89" s="77"/>
    </row>
    <row r="90" spans="1:12" ht="15" hidden="1" x14ac:dyDescent="0.25">
      <c r="A90" s="116"/>
      <c r="B90" s="95" t="s">
        <v>212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214">
        <v>0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213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214">
        <v>0</v>
      </c>
      <c r="J91" s="89">
        <f t="shared" si="3"/>
        <v>0</v>
      </c>
      <c r="K91" s="249"/>
      <c r="L91" s="77"/>
    </row>
    <row r="92" spans="1:12" hidden="1" x14ac:dyDescent="0.2">
      <c r="A92" s="116"/>
      <c r="B92" s="95" t="s">
        <v>214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214">
        <v>0</v>
      </c>
      <c r="J92" s="89">
        <f t="shared" si="3"/>
        <v>0</v>
      </c>
      <c r="K92" s="252"/>
    </row>
    <row r="93" spans="1:12" hidden="1" x14ac:dyDescent="0.2">
      <c r="A93" s="116"/>
      <c r="B93" s="95" t="s">
        <v>215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214">
        <v>0</v>
      </c>
      <c r="J93" s="89">
        <f t="shared" si="3"/>
        <v>0</v>
      </c>
      <c r="K93" s="252"/>
    </row>
    <row r="94" spans="1:12" hidden="1" x14ac:dyDescent="0.2">
      <c r="A94" s="116"/>
      <c r="B94" s="95" t="s">
        <v>216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214">
        <v>0</v>
      </c>
      <c r="J94" s="89">
        <f t="shared" si="3"/>
        <v>0</v>
      </c>
      <c r="K94" s="252"/>
    </row>
    <row r="95" spans="1:12" hidden="1" x14ac:dyDescent="0.2">
      <c r="A95" s="116"/>
      <c r="B95" s="95" t="s">
        <v>217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214">
        <v>0</v>
      </c>
      <c r="J95" s="89">
        <f t="shared" si="3"/>
        <v>0</v>
      </c>
      <c r="K95" s="252"/>
    </row>
    <row r="96" spans="1:12" hidden="1" x14ac:dyDescent="0.2">
      <c r="A96" s="116"/>
      <c r="B96" s="95" t="s">
        <v>218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214">
        <v>0</v>
      </c>
      <c r="J96" s="89">
        <f t="shared" si="3"/>
        <v>0</v>
      </c>
      <c r="K96" s="252"/>
    </row>
    <row r="97" spans="1:11" hidden="1" x14ac:dyDescent="0.2">
      <c r="A97" s="116"/>
      <c r="B97" s="95" t="s">
        <v>219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214">
        <v>0</v>
      </c>
      <c r="J97" s="89">
        <f t="shared" si="3"/>
        <v>0</v>
      </c>
      <c r="K97" s="252"/>
    </row>
    <row r="98" spans="1:11" ht="15" hidden="1" x14ac:dyDescent="0.25">
      <c r="A98" s="251"/>
      <c r="B98" s="100" t="s">
        <v>220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214">
        <v>0</v>
      </c>
      <c r="J98" s="89">
        <f t="shared" si="3"/>
        <v>0</v>
      </c>
      <c r="K98" s="249"/>
    </row>
    <row r="99" spans="1:11" ht="15" hidden="1" x14ac:dyDescent="0.25">
      <c r="A99" s="251"/>
      <c r="B99" s="100" t="s">
        <v>221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214">
        <v>0</v>
      </c>
      <c r="J99" s="89">
        <f t="shared" si="3"/>
        <v>0</v>
      </c>
      <c r="K99" s="249"/>
    </row>
    <row r="100" spans="1:11" hidden="1" x14ac:dyDescent="0.2">
      <c r="A100" s="210" t="s">
        <v>10</v>
      </c>
      <c r="B100" s="211" t="s">
        <v>142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214">
        <v>0</v>
      </c>
      <c r="J100" s="89">
        <f t="shared" si="3"/>
        <v>0</v>
      </c>
      <c r="K100" s="255"/>
    </row>
    <row r="101" spans="1:11" hidden="1" x14ac:dyDescent="0.2">
      <c r="A101" s="210" t="s">
        <v>10</v>
      </c>
      <c r="B101" s="211" t="s">
        <v>141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33</v>
      </c>
      <c r="B102" s="211" t="s">
        <v>222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hidden="1" x14ac:dyDescent="0.2">
      <c r="A103" s="210" t="s">
        <v>10</v>
      </c>
      <c r="B103" s="211" t="s">
        <v>138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0</v>
      </c>
      <c r="J103" s="89">
        <f t="shared" si="3"/>
        <v>0</v>
      </c>
      <c r="K103" s="255"/>
    </row>
    <row r="104" spans="1:11" hidden="1" x14ac:dyDescent="0.2">
      <c r="A104" s="210" t="s">
        <v>10</v>
      </c>
      <c r="B104" s="211" t="s">
        <v>136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214">
        <v>0</v>
      </c>
      <c r="J104" s="89">
        <f t="shared" si="3"/>
        <v>0</v>
      </c>
      <c r="K104" s="255"/>
    </row>
    <row r="105" spans="1:11" hidden="1" x14ac:dyDescent="0.2">
      <c r="A105" s="257"/>
      <c r="B105" s="95" t="s">
        <v>223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252"/>
    </row>
    <row r="106" spans="1:11" hidden="1" x14ac:dyDescent="0.2">
      <c r="A106" s="257"/>
      <c r="B106" s="95" t="s">
        <v>224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252"/>
    </row>
    <row r="107" spans="1:11" hidden="1" x14ac:dyDescent="0.2">
      <c r="A107" s="257"/>
      <c r="B107" s="95" t="s">
        <v>225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214">
        <v>0</v>
      </c>
      <c r="J107" s="89">
        <f t="shared" si="3"/>
        <v>0</v>
      </c>
      <c r="K107" s="252"/>
    </row>
    <row r="108" spans="1:11" hidden="1" x14ac:dyDescent="0.2">
      <c r="A108" s="257"/>
      <c r="B108" s="95" t="s">
        <v>226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252"/>
    </row>
    <row r="109" spans="1:11" ht="15" hidden="1" x14ac:dyDescent="0.25">
      <c r="A109" s="116"/>
      <c r="B109" s="95" t="s">
        <v>227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0</v>
      </c>
      <c r="J109" s="89">
        <f t="shared" si="3"/>
        <v>0</v>
      </c>
      <c r="K109" s="249"/>
    </row>
    <row r="110" spans="1:11" ht="15" hidden="1" x14ac:dyDescent="0.25">
      <c r="A110" s="116"/>
      <c r="B110" s="95" t="s">
        <v>228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214">
        <v>0</v>
      </c>
      <c r="J110" s="89">
        <f t="shared" si="3"/>
        <v>0</v>
      </c>
      <c r="K110" s="249"/>
    </row>
    <row r="111" spans="1:11" ht="15" hidden="1" x14ac:dyDescent="0.25">
      <c r="A111" s="116"/>
      <c r="B111" s="95" t="s">
        <v>229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214">
        <v>0</v>
      </c>
      <c r="J111" s="89">
        <f t="shared" si="3"/>
        <v>0</v>
      </c>
      <c r="K111" s="249"/>
    </row>
    <row r="112" spans="1:11" ht="15" hidden="1" x14ac:dyDescent="0.25">
      <c r="A112" s="116"/>
      <c r="B112" s="95" t="s">
        <v>230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231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232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0</v>
      </c>
      <c r="J114" s="89">
        <f t="shared" si="3"/>
        <v>0</v>
      </c>
      <c r="K114" s="249"/>
    </row>
    <row r="115" spans="1:11" ht="15" x14ac:dyDescent="0.25">
      <c r="A115" s="116"/>
      <c r="B115" s="95" t="s">
        <v>233</v>
      </c>
      <c r="C115" s="89">
        <v>0</v>
      </c>
      <c r="D115" s="89">
        <v>0</v>
      </c>
      <c r="E115" s="89">
        <v>5970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5970</v>
      </c>
      <c r="K115" s="249"/>
    </row>
    <row r="116" spans="1:11" ht="15" hidden="1" x14ac:dyDescent="0.25">
      <c r="A116" s="116"/>
      <c r="B116" s="95" t="s">
        <v>234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49"/>
    </row>
    <row r="117" spans="1:11" ht="15" x14ac:dyDescent="0.25">
      <c r="A117" s="116"/>
      <c r="B117" s="95" t="s">
        <v>9</v>
      </c>
      <c r="C117" s="89">
        <v>879200</v>
      </c>
      <c r="D117" s="89">
        <v>411925</v>
      </c>
      <c r="E117" s="89">
        <v>104117</v>
      </c>
      <c r="F117" s="89">
        <v>0</v>
      </c>
      <c r="G117" s="89">
        <v>0</v>
      </c>
      <c r="H117" s="89">
        <v>0</v>
      </c>
      <c r="I117" s="214">
        <v>0</v>
      </c>
      <c r="J117" s="89">
        <f t="shared" si="3"/>
        <v>1395242</v>
      </c>
      <c r="K117" s="249"/>
    </row>
    <row r="118" spans="1:11" ht="15" x14ac:dyDescent="0.25">
      <c r="A118" s="116"/>
      <c r="B118" s="95" t="s">
        <v>235</v>
      </c>
      <c r="C118" s="89">
        <v>379768</v>
      </c>
      <c r="D118" s="89">
        <v>188481</v>
      </c>
      <c r="E118" s="89">
        <v>364518</v>
      </c>
      <c r="F118" s="89">
        <v>0</v>
      </c>
      <c r="G118" s="89">
        <v>0</v>
      </c>
      <c r="H118" s="89">
        <v>0</v>
      </c>
      <c r="I118" s="214">
        <v>0</v>
      </c>
      <c r="J118" s="89">
        <f t="shared" si="3"/>
        <v>932767</v>
      </c>
      <c r="K118" s="249"/>
    </row>
    <row r="119" spans="1:11" ht="15" hidden="1" x14ac:dyDescent="0.25">
      <c r="A119" s="116"/>
      <c r="B119" s="95" t="s">
        <v>236</v>
      </c>
      <c r="C119" s="89">
        <v>0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214">
        <v>0</v>
      </c>
      <c r="J119" s="89">
        <f t="shared" si="3"/>
        <v>0</v>
      </c>
      <c r="K119" s="249"/>
    </row>
    <row r="120" spans="1:11" ht="15" hidden="1" x14ac:dyDescent="0.25">
      <c r="A120" s="116"/>
      <c r="B120" s="95" t="s">
        <v>237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214">
        <v>0</v>
      </c>
      <c r="J120" s="89">
        <f t="shared" si="3"/>
        <v>0</v>
      </c>
      <c r="K120" s="249"/>
    </row>
    <row r="121" spans="1:11" ht="15" hidden="1" x14ac:dyDescent="0.25">
      <c r="A121" s="116"/>
      <c r="B121" s="95" t="s">
        <v>238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214">
        <v>0</v>
      </c>
      <c r="J121" s="89">
        <f t="shared" si="3"/>
        <v>0</v>
      </c>
      <c r="K121" s="249"/>
    </row>
    <row r="122" spans="1:11" ht="15" hidden="1" x14ac:dyDescent="0.25">
      <c r="A122" s="251"/>
      <c r="B122" s="100" t="s">
        <v>239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251"/>
      <c r="B123" s="100" t="s">
        <v>240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0</v>
      </c>
      <c r="J123" s="89">
        <f t="shared" si="3"/>
        <v>0</v>
      </c>
      <c r="K123" s="249"/>
    </row>
    <row r="124" spans="1:11" ht="15" hidden="1" x14ac:dyDescent="0.25">
      <c r="A124" s="251"/>
      <c r="B124" s="100" t="s">
        <v>241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8"/>
      <c r="B125" s="244" t="s">
        <v>242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x14ac:dyDescent="0.25">
      <c r="A126" s="251"/>
      <c r="B126" s="100" t="s">
        <v>243</v>
      </c>
      <c r="C126" s="89">
        <v>0</v>
      </c>
      <c r="D126" s="89">
        <v>0</v>
      </c>
      <c r="E126" s="89">
        <v>5000</v>
      </c>
      <c r="F126" s="89">
        <v>0</v>
      </c>
      <c r="G126" s="89">
        <v>0</v>
      </c>
      <c r="H126" s="89">
        <v>45000</v>
      </c>
      <c r="I126" s="214">
        <v>0</v>
      </c>
      <c r="J126" s="89">
        <f t="shared" si="3"/>
        <v>50000</v>
      </c>
      <c r="K126" s="249"/>
    </row>
    <row r="127" spans="1:11" ht="15" hidden="1" x14ac:dyDescent="0.25">
      <c r="A127" s="251"/>
      <c r="B127" s="100" t="s">
        <v>244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x14ac:dyDescent="0.25">
      <c r="A128" s="260" t="s">
        <v>245</v>
      </c>
      <c r="B128" s="317"/>
      <c r="C128" s="89"/>
      <c r="D128" s="89"/>
      <c r="E128" s="89"/>
      <c r="F128" s="89"/>
      <c r="G128" s="89"/>
      <c r="H128" s="89"/>
      <c r="I128" s="214"/>
      <c r="J128" s="89"/>
      <c r="K128" s="249"/>
    </row>
    <row r="129" spans="1:11" ht="15" hidden="1" x14ac:dyDescent="0.25">
      <c r="A129" s="116"/>
      <c r="B129" s="95" t="s">
        <v>246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214">
        <v>0</v>
      </c>
      <c r="J129" s="89">
        <f t="shared" si="3"/>
        <v>0</v>
      </c>
      <c r="K129" s="249"/>
    </row>
    <row r="130" spans="1:11" hidden="1" x14ac:dyDescent="0.2">
      <c r="A130" s="251"/>
      <c r="B130" s="100" t="s">
        <v>247</v>
      </c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214">
        <v>0</v>
      </c>
      <c r="J130" s="89">
        <f t="shared" si="3"/>
        <v>0</v>
      </c>
      <c r="K130" s="252"/>
    </row>
    <row r="131" spans="1:11" hidden="1" x14ac:dyDescent="0.2">
      <c r="A131" s="116"/>
      <c r="B131" s="95" t="s">
        <v>248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249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ref="J132:J147" si="4">SUM(C132:I132)</f>
        <v>0</v>
      </c>
      <c r="K132" s="252"/>
    </row>
    <row r="133" spans="1:11" hidden="1" x14ac:dyDescent="0.2">
      <c r="A133" s="116"/>
      <c r="B133" s="95" t="s">
        <v>250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214">
        <v>0</v>
      </c>
      <c r="J133" s="89">
        <f t="shared" si="4"/>
        <v>0</v>
      </c>
      <c r="K133" s="92"/>
    </row>
    <row r="134" spans="1:11" hidden="1" x14ac:dyDescent="0.2">
      <c r="A134" s="116"/>
      <c r="B134" s="95" t="s">
        <v>251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252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253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254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255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256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257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hidden="1" x14ac:dyDescent="0.2">
      <c r="A141" s="116"/>
      <c r="B141" s="95" t="s">
        <v>258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0</v>
      </c>
      <c r="J141" s="89">
        <f t="shared" si="4"/>
        <v>0</v>
      </c>
      <c r="K141" s="92"/>
    </row>
    <row r="142" spans="1:11" hidden="1" x14ac:dyDescent="0.2">
      <c r="A142" s="116"/>
      <c r="B142" s="95" t="s">
        <v>259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214">
        <v>0</v>
      </c>
      <c r="J142" s="89">
        <f t="shared" si="4"/>
        <v>0</v>
      </c>
      <c r="K142" s="92"/>
    </row>
    <row r="143" spans="1:11" hidden="1" x14ac:dyDescent="0.2">
      <c r="A143" s="116"/>
      <c r="B143" s="95" t="s">
        <v>260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214">
        <v>0</v>
      </c>
      <c r="J143" s="89">
        <f t="shared" si="4"/>
        <v>0</v>
      </c>
      <c r="K143" s="92"/>
    </row>
    <row r="144" spans="1:11" ht="15.75" thickBot="1" x14ac:dyDescent="0.3">
      <c r="A144" s="261" t="s">
        <v>456</v>
      </c>
      <c r="B144" s="262"/>
      <c r="C144" s="263">
        <f>SUM(C55:C143)</f>
        <v>3391854</v>
      </c>
      <c r="D144" s="263">
        <f t="shared" ref="D144:H144" si="5">SUM(D55:D143)</f>
        <v>1296385.97</v>
      </c>
      <c r="E144" s="263">
        <f t="shared" si="5"/>
        <v>1063136</v>
      </c>
      <c r="F144" s="263">
        <f t="shared" si="5"/>
        <v>0</v>
      </c>
      <c r="G144" s="263">
        <f t="shared" si="5"/>
        <v>0</v>
      </c>
      <c r="H144" s="263">
        <f t="shared" si="5"/>
        <v>1571516</v>
      </c>
      <c r="I144" s="264">
        <f>SUM(I55:I143)</f>
        <v>0</v>
      </c>
      <c r="J144" s="265">
        <f t="shared" si="4"/>
        <v>7322891.9699999997</v>
      </c>
      <c r="K144" s="266"/>
    </row>
    <row r="145" spans="1:10" ht="18.75" customHeight="1" thickBot="1" x14ac:dyDescent="0.3">
      <c r="A145" s="245" t="s">
        <v>457</v>
      </c>
      <c r="B145" s="246"/>
      <c r="C145" s="247">
        <f>C54+C144</f>
        <v>8249404</v>
      </c>
      <c r="D145" s="247">
        <f t="shared" ref="D145:I145" si="6">D54+D144</f>
        <v>3735325.9699999997</v>
      </c>
      <c r="E145" s="247">
        <f t="shared" si="6"/>
        <v>6510688</v>
      </c>
      <c r="F145" s="247">
        <f t="shared" si="6"/>
        <v>0</v>
      </c>
      <c r="G145" s="247">
        <f t="shared" si="6"/>
        <v>0</v>
      </c>
      <c r="H145" s="247">
        <f t="shared" si="6"/>
        <v>2000516</v>
      </c>
      <c r="I145" s="248">
        <f t="shared" si="6"/>
        <v>0</v>
      </c>
      <c r="J145" s="236">
        <f t="shared" si="4"/>
        <v>20495933.969999999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-662755</v>
      </c>
      <c r="F146" s="269">
        <v>0</v>
      </c>
      <c r="G146" s="269">
        <v>0</v>
      </c>
      <c r="H146" s="269">
        <v>0</v>
      </c>
      <c r="I146" s="270">
        <v>0</v>
      </c>
      <c r="J146" s="144">
        <f t="shared" si="4"/>
        <v>-662755</v>
      </c>
    </row>
    <row r="147" spans="1:10" ht="21.75" customHeight="1" thickBot="1" x14ac:dyDescent="0.3">
      <c r="A147" s="271" t="s">
        <v>459</v>
      </c>
      <c r="B147" s="103"/>
      <c r="C147" s="272">
        <f>C145+C146</f>
        <v>8249404</v>
      </c>
      <c r="D147" s="272">
        <f t="shared" ref="D147:I147" si="7">D145+D146</f>
        <v>3735325.9699999997</v>
      </c>
      <c r="E147" s="272">
        <f t="shared" si="7"/>
        <v>5847933</v>
      </c>
      <c r="F147" s="272">
        <f t="shared" si="7"/>
        <v>0</v>
      </c>
      <c r="G147" s="272">
        <f t="shared" si="7"/>
        <v>0</v>
      </c>
      <c r="H147" s="272">
        <f t="shared" si="7"/>
        <v>2000516</v>
      </c>
      <c r="I147" s="272">
        <f t="shared" si="7"/>
        <v>0</v>
      </c>
      <c r="J147" s="272">
        <f t="shared" si="4"/>
        <v>19833178.969999999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74"/>
      <c r="J148" s="274"/>
    </row>
    <row r="149" spans="1:10" x14ac:dyDescent="0.2">
      <c r="A149" s="275"/>
      <c r="B149" s="191" t="str">
        <f>'PCFP - All Revenue AA-1 R-14'!C81</f>
        <v>Pershing County School District</v>
      </c>
      <c r="C149" s="274" t="s">
        <v>428</v>
      </c>
      <c r="D149" s="274"/>
      <c r="E149" s="276"/>
      <c r="F149" s="276"/>
      <c r="G149" s="276"/>
      <c r="H149" s="274"/>
      <c r="J149" s="278" t="str">
        <f>"Budget Fiscal Year "&amp;TEXT('[14]Form 1'!$C$136, "mm/dd/yy")</f>
        <v>Budget Fiscal Year 2019-2020</v>
      </c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H150" s="274"/>
      <c r="J150" s="280" t="s">
        <v>461</v>
      </c>
    </row>
    <row r="151" spans="1:10" x14ac:dyDescent="0.2">
      <c r="H151" s="280"/>
      <c r="I151" s="280"/>
      <c r="J151" s="191"/>
    </row>
  </sheetData>
  <pageMargins left="0.55000000000000004" right="0" top="0.5" bottom="0.25" header="0.5" footer="0"/>
  <pageSetup scale="68" fitToHeight="3" orientation="landscape" r:id="rId1"/>
  <headerFooter alignWithMargins="0">
    <oddFooter>&amp;C&amp;8FORM 4405LGF
Last Revised &amp;D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E939-A529-4608-89BF-EF3C0DBDFCF4}">
  <dimension ref="A2:I17"/>
  <sheetViews>
    <sheetView showGridLines="0" workbookViewId="0">
      <selection activeCell="L37" sqref="L37"/>
    </sheetView>
  </sheetViews>
  <sheetFormatPr defaultRowHeight="12.75" x14ac:dyDescent="0.2"/>
  <sheetData>
    <row r="2" spans="1:9" ht="18" x14ac:dyDescent="0.25">
      <c r="A2" s="6" t="s">
        <v>741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8" spans="1:9" x14ac:dyDescent="0.2">
      <c r="B8" s="3"/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D892-E5AD-4D6B-80BB-A250A13A73B5}">
  <dimension ref="A1:K162"/>
  <sheetViews>
    <sheetView showGridLines="0" zoomScaleNormal="100" workbookViewId="0">
      <selection activeCell="D31" sqref="D31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5" style="12" bestFit="1" customWidth="1"/>
    <col min="4" max="4" width="15.7109375" style="12" bestFit="1" customWidth="1"/>
    <col min="5" max="5" width="18.5703125" style="12" bestFit="1" customWidth="1"/>
    <col min="6" max="6" width="18.85546875" style="12" bestFit="1" customWidth="1"/>
    <col min="7" max="7" width="18.28515625" style="12" bestFit="1" customWidth="1"/>
    <col min="8" max="8" width="18.85546875" style="12" bestFit="1" customWidth="1"/>
    <col min="9" max="9" width="18.140625" style="12" bestFit="1" customWidth="1"/>
    <col min="10" max="10" width="14" style="12" bestFit="1" customWidth="1"/>
    <col min="11" max="11" width="23.5703125" style="12" bestFit="1" customWidth="1"/>
    <col min="12" max="12" width="15" bestFit="1" customWidth="1"/>
    <col min="13" max="13" width="11.28515625" bestFit="1" customWidth="1"/>
    <col min="14" max="14" width="16.5703125" bestFit="1" customWidth="1"/>
  </cols>
  <sheetData>
    <row r="1" spans="1:11" s="6" customFormat="1" ht="18" x14ac:dyDescent="0.25">
      <c r="B1" s="34" t="s">
        <v>261</v>
      </c>
      <c r="C1" s="332" t="s">
        <v>742</v>
      </c>
      <c r="D1" s="547" t="s">
        <v>119</v>
      </c>
      <c r="E1" s="332"/>
      <c r="F1" s="548"/>
      <c r="H1" s="35"/>
      <c r="J1" s="35"/>
      <c r="K1" s="35"/>
    </row>
    <row r="3" spans="1:11" s="15" customFormat="1" ht="38.25" x14ac:dyDescent="0.2">
      <c r="A3" s="13"/>
      <c r="B3" s="13" t="s">
        <v>120</v>
      </c>
      <c r="C3" s="13" t="s">
        <v>743</v>
      </c>
      <c r="D3" s="13" t="s">
        <v>546</v>
      </c>
      <c r="E3" s="13" t="s">
        <v>123</v>
      </c>
    </row>
    <row r="4" spans="1:11" x14ac:dyDescent="0.2">
      <c r="B4" s="3"/>
      <c r="C4"/>
      <c r="D4"/>
      <c r="E4"/>
      <c r="F4"/>
      <c r="G4"/>
      <c r="H4"/>
      <c r="I4"/>
      <c r="J4"/>
      <c r="K4"/>
    </row>
    <row r="5" spans="1:11" x14ac:dyDescent="0.2">
      <c r="B5" s="39" t="s">
        <v>124</v>
      </c>
      <c r="C5" s="17">
        <f>'19_20 District Budget Summ-15'!L36</f>
        <v>8334680</v>
      </c>
      <c r="D5" s="17">
        <f>SUM('PCFP - All Revenue AA-1 R-15'!F33,'PCFP - All Revenue AA-1 R-15'!H33)</f>
        <v>1407223</v>
      </c>
      <c r="E5" s="523">
        <f>D5-C5</f>
        <v>-6927457</v>
      </c>
      <c r="F5"/>
      <c r="G5"/>
      <c r="H5"/>
      <c r="I5"/>
      <c r="J5"/>
      <c r="K5"/>
    </row>
    <row r="6" spans="1:11" x14ac:dyDescent="0.2">
      <c r="B6" s="2"/>
      <c r="C6" s="17"/>
      <c r="D6" s="17"/>
      <c r="E6" s="523"/>
      <c r="F6"/>
      <c r="G6"/>
      <c r="H6"/>
      <c r="I6"/>
      <c r="J6"/>
      <c r="K6"/>
    </row>
    <row r="7" spans="1:11" x14ac:dyDescent="0.2">
      <c r="B7" s="39" t="s">
        <v>125</v>
      </c>
      <c r="C7" s="17">
        <f>'19_20 District Budget Summ-15'!L49</f>
        <v>1293856</v>
      </c>
      <c r="D7" s="17">
        <f>SUM('PCFP - All Revenue AA-1 R-15'!F49,'PCFP - All Revenue AA-1 R-15'!H49)</f>
        <v>7278604.8600721583</v>
      </c>
      <c r="E7" s="523">
        <f>D7-C7</f>
        <v>5984748.8600721583</v>
      </c>
      <c r="F7"/>
      <c r="G7"/>
      <c r="H7"/>
      <c r="I7"/>
      <c r="J7"/>
      <c r="K7"/>
    </row>
    <row r="8" spans="1:11" x14ac:dyDescent="0.2">
      <c r="B8" s="2"/>
      <c r="C8" s="17"/>
      <c r="D8" s="17"/>
      <c r="E8" s="523"/>
      <c r="F8"/>
      <c r="G8"/>
      <c r="H8"/>
      <c r="I8"/>
      <c r="J8"/>
      <c r="K8"/>
    </row>
    <row r="9" spans="1:11" x14ac:dyDescent="0.2">
      <c r="B9" s="39" t="s">
        <v>126</v>
      </c>
      <c r="C9" s="17">
        <f>'19_20 District Budget Summ-15'!L63</f>
        <v>604201</v>
      </c>
      <c r="D9" s="17">
        <f>SUM('PCFP - All Revenue AA-1 R-15'!F57,'PCFP - All Revenue AA-1 R-15'!H57)</f>
        <v>604201</v>
      </c>
      <c r="E9" s="523">
        <f>D9-C9</f>
        <v>0</v>
      </c>
      <c r="F9"/>
      <c r="G9"/>
      <c r="H9"/>
      <c r="I9"/>
      <c r="J9"/>
      <c r="K9"/>
    </row>
    <row r="10" spans="1:11" x14ac:dyDescent="0.2">
      <c r="B10" s="2"/>
      <c r="C10" s="17"/>
      <c r="D10" s="17"/>
      <c r="E10" s="523"/>
      <c r="F10"/>
      <c r="G10"/>
      <c r="H10"/>
      <c r="I10"/>
      <c r="J10"/>
      <c r="K10"/>
    </row>
    <row r="11" spans="1:11" x14ac:dyDescent="0.2">
      <c r="B11" s="39" t="s">
        <v>127</v>
      </c>
      <c r="C11" s="17">
        <f>'19_20 District Budget Summ-15'!L70</f>
        <v>11785</v>
      </c>
      <c r="D11" s="17">
        <f>SUM('PCFP - All Revenue AA-1 R-15'!F67,'PCFP - All Revenue AA-1 R-15'!H67)</f>
        <v>11785</v>
      </c>
      <c r="E11" s="523">
        <f>D11-C11</f>
        <v>0</v>
      </c>
      <c r="F11"/>
      <c r="G11"/>
      <c r="H11"/>
      <c r="I11"/>
      <c r="J11"/>
      <c r="K11"/>
    </row>
    <row r="12" spans="1:11" x14ac:dyDescent="0.2">
      <c r="B12" s="2"/>
      <c r="C12" s="17"/>
      <c r="D12" s="17"/>
      <c r="E12" s="523"/>
      <c r="F12"/>
      <c r="G12"/>
      <c r="H12"/>
      <c r="I12"/>
      <c r="J12"/>
      <c r="K12"/>
    </row>
    <row r="13" spans="1:11" s="2" customFormat="1" x14ac:dyDescent="0.2">
      <c r="B13" s="18" t="s">
        <v>128</v>
      </c>
      <c r="C13" s="20">
        <f>SUM(C5:C12)</f>
        <v>10244522</v>
      </c>
      <c r="D13" s="20">
        <f>SUM(D5:D12)</f>
        <v>9301813.8600721583</v>
      </c>
      <c r="E13" s="523">
        <f>D13-C13</f>
        <v>-942708.13992784172</v>
      </c>
    </row>
    <row r="14" spans="1:11" x14ac:dyDescent="0.2">
      <c r="B14" s="2"/>
      <c r="C14"/>
      <c r="D14"/>
      <c r="E14" s="523"/>
      <c r="F14"/>
      <c r="G14"/>
      <c r="H14"/>
      <c r="I14"/>
      <c r="J14"/>
      <c r="K14"/>
    </row>
    <row r="15" spans="1:11" x14ac:dyDescent="0.2">
      <c r="B15" s="39" t="s">
        <v>129</v>
      </c>
      <c r="C15" s="21">
        <f>'19_20 District Budget Summ-15'!L81</f>
        <v>9749238</v>
      </c>
      <c r="D15" s="21">
        <f>SUM('PCFP - All Revenue AA-1 R-15'!F71,'PCFP - All Revenue AA-1 R-15'!H71)</f>
        <v>9749238</v>
      </c>
      <c r="E15" s="523">
        <f>D15-C15</f>
        <v>0</v>
      </c>
      <c r="F15"/>
      <c r="G15"/>
      <c r="H15"/>
      <c r="I15"/>
      <c r="J15"/>
      <c r="K15"/>
    </row>
    <row r="16" spans="1:11" x14ac:dyDescent="0.2">
      <c r="C16"/>
      <c r="D16"/>
      <c r="E16" s="523"/>
      <c r="F16"/>
      <c r="G16"/>
      <c r="H16"/>
      <c r="I16"/>
      <c r="J16"/>
      <c r="K16"/>
    </row>
    <row r="17" spans="1:11" x14ac:dyDescent="0.2">
      <c r="A17" s="22"/>
      <c r="B17" s="23" t="s">
        <v>306</v>
      </c>
      <c r="C17" s="25">
        <f>SUM(C13:C15)</f>
        <v>19993760</v>
      </c>
      <c r="D17" s="25">
        <f>SUM(D13:D15)</f>
        <v>19051051.860072158</v>
      </c>
      <c r="E17" s="523">
        <f>D17-C17</f>
        <v>-942708.13992784172</v>
      </c>
      <c r="F17"/>
      <c r="G17"/>
      <c r="H17"/>
      <c r="I17"/>
      <c r="J17"/>
      <c r="K17"/>
    </row>
    <row r="18" spans="1:11" s="2" customFormat="1" x14ac:dyDescent="0.2">
      <c r="A18" s="27"/>
      <c r="B18" s="28" t="s">
        <v>131</v>
      </c>
      <c r="C18" s="29">
        <f>SUM(C21,C38,C70,C72)</f>
        <v>19993760</v>
      </c>
      <c r="D18" s="29">
        <f>SUM(D21,D38,D70,D72)</f>
        <v>19993760</v>
      </c>
      <c r="E18" s="523">
        <f>D18-C18</f>
        <v>0</v>
      </c>
    </row>
    <row r="19" spans="1:11" x14ac:dyDescent="0.2">
      <c r="A19" s="30"/>
      <c r="B19" s="286" t="s">
        <v>132</v>
      </c>
      <c r="C19" s="29">
        <f t="shared" ref="C19:D19" si="0">C17-C18</f>
        <v>0</v>
      </c>
      <c r="D19" s="29">
        <f t="shared" si="0"/>
        <v>-942708.13992784172</v>
      </c>
      <c r="E19" s="523">
        <f>D19-C19</f>
        <v>-942708.13992784172</v>
      </c>
      <c r="F19"/>
      <c r="G19"/>
      <c r="H19"/>
      <c r="I19"/>
      <c r="J19"/>
      <c r="K19"/>
    </row>
    <row r="20" spans="1:11" x14ac:dyDescent="0.2">
      <c r="C20"/>
      <c r="D20"/>
      <c r="E20"/>
      <c r="F20"/>
      <c r="G20"/>
      <c r="H20"/>
      <c r="I20"/>
      <c r="J20"/>
      <c r="K20"/>
    </row>
    <row r="21" spans="1:11" x14ac:dyDescent="0.2">
      <c r="A21" s="3"/>
      <c r="B21" s="3" t="s">
        <v>133</v>
      </c>
      <c r="C21" s="17">
        <f>SUM(C22:C36)</f>
        <v>5048572</v>
      </c>
      <c r="D21" s="17">
        <f>SUM(D22:D36)</f>
        <v>3434842</v>
      </c>
      <c r="E21"/>
      <c r="F21"/>
      <c r="G21"/>
      <c r="H21"/>
      <c r="I21"/>
      <c r="J21"/>
      <c r="K21"/>
    </row>
    <row r="22" spans="1:11" hidden="1" x14ac:dyDescent="0.2">
      <c r="A22" s="3">
        <v>100</v>
      </c>
      <c r="B22" s="3" t="s">
        <v>134</v>
      </c>
      <c r="C22" s="12">
        <f>'19_20 District Budget Summ-15'!L88</f>
        <v>3751540</v>
      </c>
      <c r="D22" s="12">
        <f>'PCFP-All Expense AA-1 Modi-15'!J3</f>
        <v>3255940</v>
      </c>
      <c r="E22" s="549"/>
      <c r="F22"/>
      <c r="G22"/>
      <c r="H22"/>
      <c r="I22"/>
      <c r="J22"/>
      <c r="K22"/>
    </row>
    <row r="23" spans="1:11" hidden="1" x14ac:dyDescent="0.2">
      <c r="A23" s="3">
        <v>200</v>
      </c>
      <c r="B23" s="3" t="s">
        <v>135</v>
      </c>
      <c r="C23" s="12">
        <f>'19_20 District Budget Summ-15'!L89</f>
        <v>1118130</v>
      </c>
      <c r="D23" s="12">
        <f>'PCFP-All Expense AA-1 Modi-15'!J4</f>
        <v>0</v>
      </c>
      <c r="E23" s="549"/>
      <c r="F23"/>
      <c r="G23"/>
      <c r="H23"/>
      <c r="I23"/>
      <c r="J23"/>
      <c r="K23"/>
    </row>
    <row r="24" spans="1:11" hidden="1" x14ac:dyDescent="0.2">
      <c r="A24" s="3" t="s">
        <v>10</v>
      </c>
      <c r="B24" s="3" t="s">
        <v>136</v>
      </c>
      <c r="C24" s="12">
        <f>'19_20 District Budget Summ-15'!L90</f>
        <v>0</v>
      </c>
      <c r="D24" s="12">
        <f>'PCFP-All Expense AA-1 Modi-15'!J5</f>
        <v>0</v>
      </c>
      <c r="E24" s="549"/>
      <c r="F24"/>
      <c r="G24"/>
      <c r="H24"/>
      <c r="I24"/>
      <c r="J24"/>
      <c r="K24"/>
    </row>
    <row r="25" spans="1:11" hidden="1" x14ac:dyDescent="0.2">
      <c r="A25" s="3">
        <v>270</v>
      </c>
      <c r="B25" s="3" t="s">
        <v>137</v>
      </c>
      <c r="C25" s="12">
        <f>'19_20 District Budget Summ-15'!L91</f>
        <v>0</v>
      </c>
      <c r="D25" s="12">
        <f>'PCFP-All Expense AA-1 Modi-15'!J6</f>
        <v>0</v>
      </c>
      <c r="E25" s="549"/>
      <c r="F25"/>
      <c r="G25"/>
      <c r="H25"/>
      <c r="I25"/>
      <c r="J25"/>
      <c r="K25"/>
    </row>
    <row r="26" spans="1:11" hidden="1" x14ac:dyDescent="0.2">
      <c r="A26" s="3" t="s">
        <v>10</v>
      </c>
      <c r="B26" s="3" t="s">
        <v>138</v>
      </c>
      <c r="C26" s="12">
        <f>'19_20 District Budget Summ-15'!L92</f>
        <v>0</v>
      </c>
      <c r="D26" s="12">
        <f>'PCFP-All Expense AA-1 Modi-15'!J7</f>
        <v>0</v>
      </c>
      <c r="E26" s="549"/>
      <c r="F26"/>
      <c r="G26"/>
      <c r="H26"/>
      <c r="I26"/>
      <c r="J26"/>
      <c r="K26"/>
    </row>
    <row r="27" spans="1:11" hidden="1" x14ac:dyDescent="0.2">
      <c r="A27" s="3">
        <v>300</v>
      </c>
      <c r="B27" s="3" t="s">
        <v>139</v>
      </c>
      <c r="C27" s="12">
        <f>'19_20 District Budget Summ-15'!L93</f>
        <v>0</v>
      </c>
      <c r="D27" s="12">
        <f>'PCFP-All Expense AA-1 Modi-15'!J8</f>
        <v>0</v>
      </c>
      <c r="E27" s="549"/>
      <c r="F27"/>
      <c r="G27"/>
      <c r="H27"/>
      <c r="I27"/>
      <c r="J27"/>
      <c r="K27"/>
    </row>
    <row r="28" spans="1:11" hidden="1" x14ac:dyDescent="0.2">
      <c r="A28" s="3">
        <v>400</v>
      </c>
      <c r="B28" s="3" t="s">
        <v>140</v>
      </c>
      <c r="C28" s="12">
        <f>'19_20 District Budget Summ-15'!L94</f>
        <v>0</v>
      </c>
      <c r="D28" s="12">
        <f>'PCFP-All Expense AA-1 Modi-15'!J9</f>
        <v>0</v>
      </c>
      <c r="E28" s="549"/>
      <c r="F28"/>
      <c r="G28"/>
      <c r="H28"/>
      <c r="I28"/>
      <c r="J28"/>
      <c r="K28"/>
    </row>
    <row r="29" spans="1:11" hidden="1" x14ac:dyDescent="0.2">
      <c r="A29" s="3" t="s">
        <v>10</v>
      </c>
      <c r="B29" s="3" t="s">
        <v>141</v>
      </c>
      <c r="C29" s="12">
        <f>'19_20 District Budget Summ-15'!L95</f>
        <v>0</v>
      </c>
      <c r="D29" s="12">
        <f>'PCFP-All Expense AA-1 Modi-15'!J10</f>
        <v>0</v>
      </c>
      <c r="E29" s="549"/>
      <c r="F29"/>
      <c r="G29"/>
      <c r="H29"/>
      <c r="I29"/>
      <c r="J29"/>
      <c r="K29"/>
    </row>
    <row r="30" spans="1:11" hidden="1" x14ac:dyDescent="0.2">
      <c r="A30" s="3" t="s">
        <v>10</v>
      </c>
      <c r="B30" s="3" t="s">
        <v>142</v>
      </c>
      <c r="C30" s="12">
        <f>'19_20 District Budget Summ-15'!L96</f>
        <v>0</v>
      </c>
      <c r="D30" s="12">
        <f>'PCFP-All Expense AA-1 Modi-15'!J11</f>
        <v>0</v>
      </c>
      <c r="E30" s="549"/>
      <c r="F30"/>
      <c r="G30"/>
      <c r="H30"/>
      <c r="I30"/>
      <c r="J30"/>
      <c r="K30"/>
    </row>
    <row r="31" spans="1:11" hidden="1" x14ac:dyDescent="0.2">
      <c r="A31" s="3">
        <v>440</v>
      </c>
      <c r="B31" s="3" t="s">
        <v>143</v>
      </c>
      <c r="C31" s="12">
        <f>'19_20 District Budget Summ-15'!L98</f>
        <v>0</v>
      </c>
      <c r="D31" s="12">
        <f>'PCFP-All Expense AA-1 Modi-15'!J12</f>
        <v>0</v>
      </c>
      <c r="E31" s="549"/>
      <c r="F31"/>
      <c r="G31"/>
      <c r="H31"/>
      <c r="I31"/>
      <c r="J31"/>
      <c r="K31"/>
    </row>
    <row r="32" spans="1:11" hidden="1" x14ac:dyDescent="0.2">
      <c r="A32" s="3">
        <v>500</v>
      </c>
      <c r="B32" s="3" t="s">
        <v>144</v>
      </c>
      <c r="C32" s="12">
        <f>'19_20 District Budget Summ-15'!L99</f>
        <v>0</v>
      </c>
      <c r="D32" s="12">
        <f>'PCFP-All Expense AA-1 Modi-15'!J13</f>
        <v>0</v>
      </c>
      <c r="E32" s="549"/>
      <c r="F32"/>
      <c r="G32"/>
      <c r="H32"/>
      <c r="I32"/>
      <c r="J32"/>
      <c r="K32"/>
    </row>
    <row r="33" spans="1:11" hidden="1" x14ac:dyDescent="0.2">
      <c r="A33" s="3">
        <v>600</v>
      </c>
      <c r="B33" s="3" t="s">
        <v>145</v>
      </c>
      <c r="C33" s="12">
        <f>'19_20 District Budget Summ-15'!L100</f>
        <v>0</v>
      </c>
      <c r="D33" s="12">
        <f>'PCFP-All Expense AA-1 Modi-15'!J14</f>
        <v>0</v>
      </c>
      <c r="E33" s="549"/>
      <c r="F33"/>
      <c r="G33"/>
      <c r="H33"/>
      <c r="I33"/>
      <c r="J33"/>
      <c r="K33"/>
    </row>
    <row r="34" spans="1:11" hidden="1" x14ac:dyDescent="0.2">
      <c r="A34" s="3">
        <v>800</v>
      </c>
      <c r="B34" s="3" t="s">
        <v>146</v>
      </c>
      <c r="C34" s="12">
        <f>'19_20 District Budget Summ-15'!L101</f>
        <v>0</v>
      </c>
      <c r="D34" s="12">
        <f>'PCFP-All Expense AA-1 Modi-15'!J15</f>
        <v>0</v>
      </c>
      <c r="E34" s="549"/>
      <c r="F34"/>
      <c r="G34"/>
      <c r="H34"/>
      <c r="I34"/>
      <c r="J34"/>
      <c r="K34"/>
    </row>
    <row r="35" spans="1:11" hidden="1" x14ac:dyDescent="0.2">
      <c r="A35" s="3">
        <v>910</v>
      </c>
      <c r="B35" s="3" t="s">
        <v>147</v>
      </c>
      <c r="C35" s="12">
        <f>'19_20 District Budget Summ-15'!L102</f>
        <v>39634</v>
      </c>
      <c r="D35" s="12">
        <f>'PCFP-All Expense AA-1 Modi-15'!J16</f>
        <v>178902</v>
      </c>
      <c r="E35" s="549"/>
      <c r="F35"/>
      <c r="G35"/>
      <c r="H35"/>
      <c r="I35"/>
      <c r="J35"/>
      <c r="K35"/>
    </row>
    <row r="36" spans="1:11" hidden="1" x14ac:dyDescent="0.2">
      <c r="A36" s="3">
        <v>920</v>
      </c>
      <c r="B36" s="3" t="s">
        <v>148</v>
      </c>
      <c r="C36" s="12">
        <f>'19_20 District Budget Summ-15'!L103</f>
        <v>139268</v>
      </c>
      <c r="D36" s="12">
        <f>'PCFP-All Expense AA-1 Modi-15'!J17</f>
        <v>0</v>
      </c>
      <c r="E36" s="549"/>
      <c r="F36"/>
      <c r="G36"/>
      <c r="H36"/>
      <c r="I36"/>
      <c r="J36"/>
      <c r="K36"/>
    </row>
    <row r="37" spans="1:11" x14ac:dyDescent="0.2">
      <c r="A37" s="3"/>
      <c r="B37" s="3"/>
      <c r="E37" s="549"/>
      <c r="F37"/>
      <c r="G37"/>
      <c r="H37"/>
      <c r="I37"/>
      <c r="J37"/>
      <c r="K37"/>
    </row>
    <row r="38" spans="1:11" x14ac:dyDescent="0.2">
      <c r="A38" s="3" t="s">
        <v>149</v>
      </c>
      <c r="B38" s="3" t="s">
        <v>150</v>
      </c>
      <c r="C38" s="12">
        <f>SUM(C39:C68)</f>
        <v>15159960</v>
      </c>
      <c r="D38" s="12">
        <f>SUM(D39:D68)</f>
        <v>12223733</v>
      </c>
      <c r="E38" s="549"/>
      <c r="F38"/>
      <c r="G38"/>
      <c r="H38"/>
      <c r="I38"/>
      <c r="J38"/>
      <c r="K38"/>
    </row>
    <row r="39" spans="1:11" hidden="1" x14ac:dyDescent="0.2">
      <c r="A39" s="2">
        <v>2000</v>
      </c>
      <c r="B39" s="2" t="s">
        <v>444</v>
      </c>
      <c r="C39" s="12">
        <f>'19_20 District Budget Summ-15'!L105</f>
        <v>0</v>
      </c>
      <c r="D39" s="12">
        <f>'PCFP-All Expense AA-1 Modi-15'!J20</f>
        <v>4568677</v>
      </c>
      <c r="E39" s="549"/>
      <c r="F39"/>
      <c r="G39"/>
      <c r="H39"/>
      <c r="I39"/>
      <c r="J39"/>
      <c r="K39"/>
    </row>
    <row r="40" spans="1:11" hidden="1" x14ac:dyDescent="0.2">
      <c r="A40" s="2">
        <v>2100</v>
      </c>
      <c r="B40" t="s">
        <v>151</v>
      </c>
      <c r="C40" s="12">
        <f>'19_20 District Budget Summ-15'!L106</f>
        <v>430784</v>
      </c>
      <c r="D40" s="12">
        <f>'PCFP-All Expense AA-1 Modi-15'!J21</f>
        <v>0</v>
      </c>
      <c r="E40" s="549"/>
      <c r="F40"/>
      <c r="G40"/>
      <c r="H40"/>
      <c r="I40"/>
      <c r="J40"/>
      <c r="K40"/>
    </row>
    <row r="41" spans="1:11" hidden="1" x14ac:dyDescent="0.2">
      <c r="A41" s="2">
        <v>2200</v>
      </c>
      <c r="B41" t="s">
        <v>152</v>
      </c>
      <c r="C41" s="12">
        <f>'19_20 District Budget Summ-15'!L107</f>
        <v>184514</v>
      </c>
      <c r="D41" s="12">
        <f>'PCFP-All Expense AA-1 Modi-15'!J22</f>
        <v>0</v>
      </c>
      <c r="E41" s="549"/>
      <c r="F41"/>
      <c r="G41"/>
      <c r="H41"/>
      <c r="I41"/>
      <c r="J41"/>
      <c r="K41"/>
    </row>
    <row r="42" spans="1:11" hidden="1" x14ac:dyDescent="0.2">
      <c r="A42" s="2">
        <v>2300</v>
      </c>
      <c r="B42" t="s">
        <v>153</v>
      </c>
      <c r="C42" s="12">
        <f>'19_20 District Budget Summ-15'!L108</f>
        <v>763703</v>
      </c>
      <c r="D42" s="12">
        <f>'PCFP-All Expense AA-1 Modi-15'!J23</f>
        <v>0</v>
      </c>
      <c r="E42" s="549"/>
      <c r="F42"/>
      <c r="G42"/>
      <c r="H42"/>
      <c r="I42"/>
      <c r="J42"/>
      <c r="K42"/>
    </row>
    <row r="43" spans="1:11" hidden="1" x14ac:dyDescent="0.2">
      <c r="A43" s="2">
        <v>2400</v>
      </c>
      <c r="B43" t="s">
        <v>154</v>
      </c>
      <c r="C43" s="12">
        <f>'19_20 District Budget Summ-15'!L109</f>
        <v>722878</v>
      </c>
      <c r="D43" s="12">
        <f>'PCFP-All Expense AA-1 Modi-15'!J24</f>
        <v>0</v>
      </c>
      <c r="E43" s="549"/>
      <c r="F43"/>
      <c r="G43"/>
      <c r="H43"/>
      <c r="I43"/>
      <c r="J43"/>
      <c r="K43"/>
    </row>
    <row r="44" spans="1:11" hidden="1" x14ac:dyDescent="0.2">
      <c r="A44" s="2">
        <v>2500</v>
      </c>
      <c r="B44" t="s">
        <v>155</v>
      </c>
      <c r="C44" s="12">
        <f>'19_20 District Budget Summ-15'!L110</f>
        <v>235341</v>
      </c>
      <c r="D44" s="12">
        <f>'PCFP-All Expense AA-1 Modi-15'!J25</f>
        <v>0</v>
      </c>
      <c r="E44" s="549"/>
      <c r="F44"/>
      <c r="G44"/>
      <c r="H44"/>
      <c r="I44"/>
      <c r="J44"/>
      <c r="K44"/>
    </row>
    <row r="45" spans="1:11" hidden="1" x14ac:dyDescent="0.2">
      <c r="A45" s="2">
        <v>2580</v>
      </c>
      <c r="B45" t="s">
        <v>158</v>
      </c>
      <c r="C45" s="12">
        <f>'19_20 District Budget Summ-15'!L111</f>
        <v>512404</v>
      </c>
      <c r="D45" s="12">
        <f>'PCFP-All Expense AA-1 Modi-15'!J26</f>
        <v>0</v>
      </c>
      <c r="E45" s="549"/>
      <c r="F45"/>
      <c r="G45"/>
      <c r="H45"/>
      <c r="I45"/>
      <c r="J45"/>
      <c r="K45"/>
    </row>
    <row r="46" spans="1:11" hidden="1" x14ac:dyDescent="0.2">
      <c r="A46" s="2">
        <v>2600</v>
      </c>
      <c r="B46" t="s">
        <v>156</v>
      </c>
      <c r="C46" s="12">
        <f>'19_20 District Budget Summ-15'!L112</f>
        <v>1239593</v>
      </c>
      <c r="D46" s="12">
        <f>'PCFP-All Expense AA-1 Modi-15'!J27</f>
        <v>0</v>
      </c>
      <c r="E46" s="549"/>
      <c r="F46"/>
      <c r="G46"/>
      <c r="H46"/>
      <c r="I46"/>
      <c r="J46"/>
      <c r="K46"/>
    </row>
    <row r="47" spans="1:11" hidden="1" x14ac:dyDescent="0.2">
      <c r="A47" s="2">
        <v>2700</v>
      </c>
      <c r="B47" t="s">
        <v>157</v>
      </c>
      <c r="C47" s="12">
        <f>'19_20 District Budget Summ-15'!L113</f>
        <v>756154</v>
      </c>
      <c r="D47" s="12">
        <f>'PCFP-All Expense AA-1 Modi-15'!J28</f>
        <v>0</v>
      </c>
      <c r="E47" s="549"/>
      <c r="F47"/>
      <c r="G47"/>
      <c r="H47"/>
      <c r="I47"/>
      <c r="J47"/>
      <c r="K47"/>
    </row>
    <row r="48" spans="1:11" hidden="1" x14ac:dyDescent="0.2">
      <c r="A48" s="2">
        <v>2900</v>
      </c>
      <c r="B48" t="s">
        <v>158</v>
      </c>
      <c r="C48" s="12">
        <f>'19_20 District Budget Summ-15'!L114</f>
        <v>0</v>
      </c>
      <c r="D48" s="12">
        <f>'PCFP-All Expense AA-1 Modi-15'!J29</f>
        <v>0</v>
      </c>
      <c r="E48" s="549"/>
      <c r="F48"/>
      <c r="G48"/>
      <c r="H48"/>
      <c r="I48"/>
      <c r="J48"/>
      <c r="K48"/>
    </row>
    <row r="49" spans="1:11" hidden="1" x14ac:dyDescent="0.2">
      <c r="A49" s="2">
        <v>3000</v>
      </c>
      <c r="B49" t="s">
        <v>159</v>
      </c>
      <c r="C49" s="12">
        <f>'19_20 District Budget Summ-15'!L115</f>
        <v>0</v>
      </c>
      <c r="D49" s="12">
        <f>'PCFP-All Expense AA-1 Modi-15'!J30</f>
        <v>0</v>
      </c>
      <c r="E49" s="549"/>
      <c r="F49"/>
      <c r="G49"/>
      <c r="H49"/>
      <c r="I49"/>
      <c r="J49"/>
      <c r="K49"/>
    </row>
    <row r="50" spans="1:11" hidden="1" x14ac:dyDescent="0.2">
      <c r="A50" s="2">
        <v>3100</v>
      </c>
      <c r="B50" t="s">
        <v>160</v>
      </c>
      <c r="C50" s="12">
        <f>'19_20 District Budget Summ-15'!L116</f>
        <v>30459</v>
      </c>
      <c r="D50" s="12">
        <f>'PCFP-All Expense AA-1 Modi-15'!J31</f>
        <v>0</v>
      </c>
      <c r="E50" s="549"/>
      <c r="F50"/>
      <c r="G50"/>
      <c r="H50"/>
      <c r="I50"/>
      <c r="J50"/>
      <c r="K50"/>
    </row>
    <row r="51" spans="1:11" hidden="1" x14ac:dyDescent="0.2">
      <c r="A51" s="2">
        <v>3200</v>
      </c>
      <c r="B51" t="s">
        <v>161</v>
      </c>
      <c r="C51" s="12">
        <f>'19_20 District Budget Summ-15'!L117</f>
        <v>0</v>
      </c>
      <c r="D51" s="12">
        <f>'PCFP-All Expense AA-1 Modi-15'!J32</f>
        <v>0</v>
      </c>
      <c r="E51" s="549"/>
      <c r="F51"/>
      <c r="G51"/>
      <c r="H51"/>
      <c r="I51"/>
      <c r="J51"/>
      <c r="K51"/>
    </row>
    <row r="52" spans="1:11" hidden="1" x14ac:dyDescent="0.2">
      <c r="A52" s="2">
        <v>3300</v>
      </c>
      <c r="B52" t="s">
        <v>162</v>
      </c>
      <c r="C52" s="12">
        <f>'19_20 District Budget Summ-15'!L118</f>
        <v>0</v>
      </c>
      <c r="D52" s="12">
        <f>'PCFP-All Expense AA-1 Modi-15'!J33</f>
        <v>0</v>
      </c>
      <c r="E52" s="549"/>
      <c r="F52"/>
      <c r="G52"/>
      <c r="H52"/>
      <c r="I52"/>
      <c r="J52"/>
      <c r="K52"/>
    </row>
    <row r="53" spans="1:11" hidden="1" x14ac:dyDescent="0.2">
      <c r="A53" s="2">
        <v>4000</v>
      </c>
      <c r="B53" t="s">
        <v>164</v>
      </c>
      <c r="C53" s="12">
        <f>'19_20 District Budget Summ-15'!L119</f>
        <v>0</v>
      </c>
      <c r="D53" s="12">
        <f>'PCFP-All Expense AA-1 Modi-15'!J34</f>
        <v>0</v>
      </c>
      <c r="E53" s="549"/>
      <c r="F53"/>
      <c r="G53"/>
      <c r="H53"/>
      <c r="I53"/>
      <c r="J53"/>
      <c r="K53"/>
    </row>
    <row r="54" spans="1:11" hidden="1" x14ac:dyDescent="0.2">
      <c r="A54" s="2">
        <v>4100</v>
      </c>
      <c r="B54" t="s">
        <v>163</v>
      </c>
      <c r="C54" s="12">
        <f>'19_20 District Budget Summ-15'!L120</f>
        <v>0</v>
      </c>
      <c r="D54" s="12">
        <f>'PCFP-All Expense AA-1 Modi-15'!J35</f>
        <v>0</v>
      </c>
      <c r="E54" s="549"/>
      <c r="F54"/>
      <c r="G54"/>
      <c r="H54"/>
      <c r="I54"/>
      <c r="J54"/>
      <c r="K54"/>
    </row>
    <row r="55" spans="1:11" hidden="1" x14ac:dyDescent="0.2">
      <c r="A55" s="2">
        <v>4200</v>
      </c>
      <c r="B55" t="s">
        <v>165</v>
      </c>
      <c r="C55" s="12">
        <f>'19_20 District Budget Summ-15'!L121</f>
        <v>190000</v>
      </c>
      <c r="D55" s="12">
        <f>'PCFP-All Expense AA-1 Modi-15'!J36</f>
        <v>0</v>
      </c>
      <c r="E55" s="549"/>
      <c r="F55"/>
      <c r="G55"/>
      <c r="H55"/>
      <c r="I55"/>
      <c r="J55"/>
      <c r="K55"/>
    </row>
    <row r="56" spans="1:11" hidden="1" x14ac:dyDescent="0.2">
      <c r="A56" s="2">
        <v>4300</v>
      </c>
      <c r="B56" t="s">
        <v>166</v>
      </c>
      <c r="C56" s="12">
        <f>'19_20 District Budget Summ-15'!L122</f>
        <v>0</v>
      </c>
      <c r="D56" s="12">
        <f>'PCFP-All Expense AA-1 Modi-15'!J37</f>
        <v>0</v>
      </c>
      <c r="E56" s="549"/>
      <c r="F56"/>
      <c r="G56"/>
      <c r="H56"/>
      <c r="I56"/>
      <c r="J56"/>
      <c r="K56"/>
    </row>
    <row r="57" spans="1:11" hidden="1" x14ac:dyDescent="0.2">
      <c r="A57" s="2">
        <v>4400</v>
      </c>
      <c r="B57" t="s">
        <v>167</v>
      </c>
      <c r="C57" s="12">
        <f>'19_20 District Budget Summ-15'!L123</f>
        <v>0</v>
      </c>
      <c r="D57" s="12">
        <f>'PCFP-All Expense AA-1 Modi-15'!J38</f>
        <v>0</v>
      </c>
      <c r="E57" s="549"/>
      <c r="F57"/>
      <c r="G57"/>
      <c r="H57"/>
      <c r="I57"/>
      <c r="J57"/>
      <c r="K57"/>
    </row>
    <row r="58" spans="1:11" hidden="1" x14ac:dyDescent="0.2">
      <c r="A58" s="2">
        <v>4500</v>
      </c>
      <c r="B58" t="s">
        <v>168</v>
      </c>
      <c r="C58" s="12">
        <f>'19_20 District Budget Summ-15'!L124</f>
        <v>0</v>
      </c>
      <c r="D58" s="12">
        <f>'PCFP-All Expense AA-1 Modi-15'!J39</f>
        <v>0</v>
      </c>
      <c r="E58" s="549"/>
      <c r="F58"/>
      <c r="G58"/>
      <c r="H58"/>
      <c r="I58"/>
      <c r="J58"/>
      <c r="K58"/>
    </row>
    <row r="59" spans="1:11" hidden="1" x14ac:dyDescent="0.2">
      <c r="A59" s="2">
        <v>4600</v>
      </c>
      <c r="B59" t="s">
        <v>169</v>
      </c>
      <c r="C59" s="12">
        <f>'19_20 District Budget Summ-15'!L125</f>
        <v>250646</v>
      </c>
      <c r="D59" s="12">
        <f>'PCFP-All Expense AA-1 Modi-15'!J40</f>
        <v>0</v>
      </c>
      <c r="E59" s="549"/>
      <c r="F59"/>
      <c r="G59"/>
      <c r="H59"/>
      <c r="I59"/>
      <c r="J59"/>
      <c r="K59"/>
    </row>
    <row r="60" spans="1:11" hidden="1" x14ac:dyDescent="0.2">
      <c r="A60" s="2">
        <v>4700</v>
      </c>
      <c r="B60" t="s">
        <v>170</v>
      </c>
      <c r="C60" s="12">
        <f>'19_20 District Budget Summ-15'!L126</f>
        <v>321941</v>
      </c>
      <c r="D60" s="12">
        <f>'PCFP-All Expense AA-1 Modi-15'!J41</f>
        <v>0</v>
      </c>
      <c r="E60" s="549"/>
      <c r="F60"/>
      <c r="G60"/>
      <c r="H60"/>
      <c r="I60"/>
      <c r="J60"/>
      <c r="K60"/>
    </row>
    <row r="61" spans="1:11" hidden="1" x14ac:dyDescent="0.2">
      <c r="A61" s="2">
        <v>4900</v>
      </c>
      <c r="B61" t="s">
        <v>171</v>
      </c>
      <c r="C61" s="12">
        <f>'19_20 District Budget Summ-15'!L127</f>
        <v>0</v>
      </c>
      <c r="D61" s="12">
        <f>'PCFP-All Expense AA-1 Modi-15'!J42</f>
        <v>0</v>
      </c>
      <c r="E61" s="549"/>
      <c r="F61"/>
      <c r="G61"/>
      <c r="H61"/>
      <c r="I61"/>
      <c r="J61"/>
      <c r="K61"/>
    </row>
    <row r="62" spans="1:11" hidden="1" x14ac:dyDescent="0.2">
      <c r="A62" s="2">
        <v>5000</v>
      </c>
      <c r="B62" t="s">
        <v>172</v>
      </c>
      <c r="C62" s="12">
        <f>'19_20 District Budget Summ-15'!L128</f>
        <v>0</v>
      </c>
      <c r="D62" s="12">
        <f>'PCFP-All Expense AA-1 Modi-15'!J43</f>
        <v>0</v>
      </c>
      <c r="E62" s="549"/>
      <c r="F62"/>
      <c r="G62"/>
      <c r="H62"/>
      <c r="I62"/>
      <c r="J62"/>
      <c r="K62"/>
    </row>
    <row r="63" spans="1:11" hidden="1" x14ac:dyDescent="0.2">
      <c r="A63" s="2">
        <v>5000</v>
      </c>
      <c r="B63" t="s">
        <v>173</v>
      </c>
      <c r="C63" s="12">
        <f>'19_20 District Budget Summ-15'!L129</f>
        <v>1733761</v>
      </c>
      <c r="D63" s="12">
        <f>'PCFP-All Expense AA-1 Modi-15'!J44</f>
        <v>0</v>
      </c>
      <c r="E63" s="549"/>
      <c r="F63"/>
      <c r="G63"/>
      <c r="H63"/>
      <c r="I63"/>
      <c r="J63"/>
      <c r="K63"/>
    </row>
    <row r="64" spans="1:11" hidden="1" x14ac:dyDescent="0.2">
      <c r="A64" s="2">
        <v>6000</v>
      </c>
      <c r="B64" s="3" t="s">
        <v>744</v>
      </c>
      <c r="C64" s="12">
        <f>'19_20 District Budget Summ-15'!L130</f>
        <v>35567</v>
      </c>
      <c r="D64" s="12">
        <v>0</v>
      </c>
      <c r="E64" s="549"/>
      <c r="F64"/>
      <c r="G64"/>
      <c r="H64"/>
      <c r="I64"/>
      <c r="J64"/>
      <c r="K64"/>
    </row>
    <row r="65" spans="1:11" hidden="1" x14ac:dyDescent="0.2">
      <c r="A65" s="2">
        <v>6100</v>
      </c>
      <c r="B65" t="s">
        <v>174</v>
      </c>
      <c r="C65" s="12">
        <f>'19_20 District Budget Summ-15'!L131</f>
        <v>0</v>
      </c>
      <c r="D65" s="12">
        <v>0</v>
      </c>
      <c r="E65" s="549"/>
      <c r="F65"/>
      <c r="G65"/>
      <c r="H65"/>
      <c r="I65"/>
      <c r="J65"/>
      <c r="K65"/>
    </row>
    <row r="66" spans="1:11" hidden="1" x14ac:dyDescent="0.2">
      <c r="A66" s="2">
        <v>6200</v>
      </c>
      <c r="B66" t="s">
        <v>175</v>
      </c>
      <c r="C66" s="12">
        <f>'19_20 District Budget Summ-15'!L132</f>
        <v>214772</v>
      </c>
      <c r="D66" s="12">
        <f>'PCFP-All Expense AA-1 Modi-15'!J45</f>
        <v>214772</v>
      </c>
      <c r="E66" s="549"/>
      <c r="F66"/>
      <c r="G66"/>
      <c r="H66"/>
      <c r="I66"/>
      <c r="J66"/>
      <c r="K66"/>
    </row>
    <row r="67" spans="1:11" hidden="1" x14ac:dyDescent="0.2">
      <c r="A67" s="2">
        <v>6300</v>
      </c>
      <c r="B67" t="s">
        <v>176</v>
      </c>
      <c r="C67" s="12">
        <f>'19_20 District Budget Summ-15'!L133</f>
        <v>555715</v>
      </c>
      <c r="D67" s="12">
        <f>'PCFP-All Expense AA-1 Modi-15'!J46</f>
        <v>555715</v>
      </c>
      <c r="E67" s="549"/>
      <c r="F67"/>
      <c r="G67"/>
      <c r="H67"/>
      <c r="I67"/>
      <c r="J67"/>
      <c r="K67"/>
    </row>
    <row r="68" spans="1:11" hidden="1" x14ac:dyDescent="0.2">
      <c r="A68" s="2">
        <v>8000</v>
      </c>
      <c r="B68" t="s">
        <v>177</v>
      </c>
      <c r="C68" s="12">
        <f>'19_20 District Budget Summ-15'!L134</f>
        <v>6981728</v>
      </c>
      <c r="D68" s="12">
        <f>'PCFP-All Expense AA-1 Modi-15'!J47</f>
        <v>6884569</v>
      </c>
      <c r="E68" s="549"/>
      <c r="F68"/>
      <c r="G68"/>
      <c r="H68"/>
      <c r="I68"/>
      <c r="J68"/>
      <c r="K68"/>
    </row>
    <row r="69" spans="1:11" x14ac:dyDescent="0.2">
      <c r="E69" s="549"/>
      <c r="F69"/>
      <c r="G69"/>
      <c r="H69"/>
      <c r="I69"/>
      <c r="J69"/>
      <c r="K69"/>
    </row>
    <row r="70" spans="1:11" x14ac:dyDescent="0.2">
      <c r="B70" t="str">
        <f>'PCFP-All Expense AA-1 Modi-15'!A52</f>
        <v>DEBT SERVICE</v>
      </c>
      <c r="C70" s="12">
        <v>0</v>
      </c>
      <c r="D70" s="12">
        <f>'PCFP-All Expense AA-1 Modi-15'!J52</f>
        <v>1733761</v>
      </c>
      <c r="E70" s="549"/>
      <c r="F70"/>
      <c r="G70"/>
      <c r="H70"/>
      <c r="I70"/>
      <c r="J70"/>
      <c r="K70"/>
    </row>
    <row r="71" spans="1:11" x14ac:dyDescent="0.2">
      <c r="E71" s="549"/>
      <c r="F71"/>
      <c r="G71"/>
      <c r="H71"/>
      <c r="I71"/>
      <c r="J71"/>
      <c r="K71"/>
    </row>
    <row r="72" spans="1:11" s="2" customFormat="1" x14ac:dyDescent="0.2">
      <c r="A72" s="53"/>
      <c r="B72" s="3" t="s">
        <v>469</v>
      </c>
      <c r="C72" s="19">
        <f>SUM(C73:C161)</f>
        <v>-214772</v>
      </c>
      <c r="D72" s="19">
        <f>SUM(D73:D161)</f>
        <v>2601424</v>
      </c>
      <c r="E72" s="549"/>
    </row>
    <row r="73" spans="1:11" hidden="1" x14ac:dyDescent="0.2">
      <c r="B73" t="s">
        <v>179</v>
      </c>
      <c r="C73" s="12">
        <f>'19_20 District Budget Summ-15'!L137</f>
        <v>0</v>
      </c>
      <c r="D73" s="12">
        <f>'PCFP-All Expense AA-1 Modi-15'!J56</f>
        <v>0</v>
      </c>
      <c r="E73" s="549"/>
      <c r="F73"/>
      <c r="G73"/>
      <c r="H73"/>
      <c r="I73"/>
      <c r="J73"/>
      <c r="K73"/>
    </row>
    <row r="74" spans="1:11" hidden="1" x14ac:dyDescent="0.2">
      <c r="B74" t="s">
        <v>145</v>
      </c>
      <c r="C74" s="12">
        <f>'19_20 District Budget Summ-15'!L138</f>
        <v>0</v>
      </c>
      <c r="D74" s="12">
        <f>'PCFP-All Expense AA-1 Modi-15'!J57</f>
        <v>0</v>
      </c>
      <c r="E74" s="549"/>
      <c r="F74"/>
      <c r="G74"/>
      <c r="H74"/>
      <c r="I74"/>
      <c r="J74"/>
      <c r="K74"/>
    </row>
    <row r="75" spans="1:11" hidden="1" x14ac:dyDescent="0.2">
      <c r="B75" t="s">
        <v>180</v>
      </c>
      <c r="C75" s="12">
        <f>'19_20 District Budget Summ-15'!L139</f>
        <v>0</v>
      </c>
      <c r="D75" s="12">
        <f>'PCFP-All Expense AA-1 Modi-15'!J58</f>
        <v>0</v>
      </c>
      <c r="E75" s="549"/>
      <c r="F75"/>
      <c r="G75"/>
      <c r="H75"/>
      <c r="I75"/>
      <c r="J75"/>
      <c r="K75"/>
    </row>
    <row r="76" spans="1:11" hidden="1" x14ac:dyDescent="0.2">
      <c r="B76" t="s">
        <v>181</v>
      </c>
      <c r="C76" s="12">
        <f>'19_20 District Budget Summ-15'!L140</f>
        <v>0</v>
      </c>
      <c r="D76" s="12">
        <f>'PCFP-All Expense AA-1 Modi-15'!J59</f>
        <v>0</v>
      </c>
      <c r="E76" s="549"/>
      <c r="F76"/>
      <c r="G76"/>
      <c r="H76"/>
      <c r="I76"/>
      <c r="J76"/>
      <c r="K76"/>
    </row>
    <row r="77" spans="1:11" hidden="1" x14ac:dyDescent="0.2">
      <c r="B77" t="s">
        <v>182</v>
      </c>
      <c r="C77" s="12">
        <f>'19_20 District Budget Summ-15'!L141</f>
        <v>0</v>
      </c>
      <c r="D77" s="12">
        <f>'PCFP-All Expense AA-1 Modi-15'!J60</f>
        <v>0</v>
      </c>
      <c r="E77" s="549"/>
      <c r="F77"/>
      <c r="G77"/>
      <c r="H77"/>
      <c r="I77"/>
      <c r="J77"/>
      <c r="K77"/>
    </row>
    <row r="78" spans="1:11" hidden="1" x14ac:dyDescent="0.2">
      <c r="B78" t="s">
        <v>183</v>
      </c>
      <c r="C78" s="12">
        <f>'19_20 District Budget Summ-15'!L142</f>
        <v>0</v>
      </c>
      <c r="D78" s="12">
        <f>'PCFP-All Expense AA-1 Modi-15'!J61</f>
        <v>0</v>
      </c>
      <c r="E78" s="549"/>
      <c r="F78"/>
      <c r="G78"/>
      <c r="H78"/>
      <c r="I78"/>
      <c r="J78"/>
      <c r="K78"/>
    </row>
    <row r="79" spans="1:11" hidden="1" x14ac:dyDescent="0.2">
      <c r="B79" t="s">
        <v>184</v>
      </c>
      <c r="C79" s="12">
        <f>'19_20 District Budget Summ-15'!L143</f>
        <v>0</v>
      </c>
      <c r="D79" s="12">
        <f>'PCFP-All Expense AA-1 Modi-15'!J62</f>
        <v>0</v>
      </c>
      <c r="E79" s="549"/>
      <c r="F79"/>
      <c r="G79"/>
      <c r="H79"/>
      <c r="I79"/>
      <c r="J79"/>
      <c r="K79"/>
    </row>
    <row r="80" spans="1:11" hidden="1" x14ac:dyDescent="0.2">
      <c r="B80" t="s">
        <v>185</v>
      </c>
      <c r="C80" s="12">
        <f>'19_20 District Budget Summ-15'!L144</f>
        <v>0</v>
      </c>
      <c r="D80" s="12">
        <f>'PCFP-All Expense AA-1 Modi-15'!J63</f>
        <v>0</v>
      </c>
      <c r="E80" s="549"/>
      <c r="F80"/>
      <c r="G80"/>
      <c r="H80"/>
      <c r="I80"/>
      <c r="J80"/>
      <c r="K80"/>
    </row>
    <row r="81" spans="2:11" hidden="1" x14ac:dyDescent="0.2">
      <c r="B81" t="s">
        <v>186</v>
      </c>
      <c r="C81" s="12">
        <f>'19_20 District Budget Summ-15'!L145</f>
        <v>0</v>
      </c>
      <c r="D81" s="12">
        <f>'PCFP-All Expense AA-1 Modi-15'!J64</f>
        <v>0</v>
      </c>
      <c r="E81" s="549"/>
      <c r="F81"/>
      <c r="G81"/>
      <c r="H81"/>
      <c r="I81"/>
      <c r="J81"/>
      <c r="K81"/>
    </row>
    <row r="82" spans="2:11" hidden="1" x14ac:dyDescent="0.2">
      <c r="B82" t="s">
        <v>187</v>
      </c>
      <c r="C82" s="12">
        <f>'19_20 District Budget Summ-15'!L146</f>
        <v>0</v>
      </c>
      <c r="D82" s="12">
        <f>'PCFP-All Expense AA-1 Modi-15'!J65</f>
        <v>0</v>
      </c>
      <c r="E82" s="549"/>
      <c r="F82"/>
      <c r="G82"/>
      <c r="H82"/>
      <c r="I82"/>
      <c r="J82"/>
      <c r="K82"/>
    </row>
    <row r="83" spans="2:11" hidden="1" x14ac:dyDescent="0.2">
      <c r="B83" t="s">
        <v>188</v>
      </c>
      <c r="C83" s="12">
        <f>'19_20 District Budget Summ-15'!L147</f>
        <v>0</v>
      </c>
      <c r="D83" s="12">
        <f>'PCFP-All Expense AA-1 Modi-15'!J66</f>
        <v>511941</v>
      </c>
      <c r="E83" s="549"/>
      <c r="F83"/>
      <c r="G83"/>
      <c r="H83"/>
      <c r="I83"/>
      <c r="J83"/>
      <c r="K83"/>
    </row>
    <row r="84" spans="2:11" hidden="1" x14ac:dyDescent="0.2">
      <c r="B84" t="s">
        <v>189</v>
      </c>
      <c r="C84" s="12">
        <f>'19_20 District Budget Summ-15'!L148</f>
        <v>0</v>
      </c>
      <c r="D84" s="12">
        <f>'PCFP-All Expense AA-1 Modi-15'!J67</f>
        <v>0</v>
      </c>
      <c r="E84" s="549"/>
      <c r="F84"/>
      <c r="G84"/>
      <c r="H84"/>
      <c r="I84"/>
      <c r="J84"/>
      <c r="K84"/>
    </row>
    <row r="85" spans="2:11" hidden="1" x14ac:dyDescent="0.2">
      <c r="B85" t="s">
        <v>190</v>
      </c>
      <c r="C85" s="12">
        <f>'19_20 District Budget Summ-15'!L149</f>
        <v>0</v>
      </c>
      <c r="D85" s="12">
        <f>'PCFP-All Expense AA-1 Modi-15'!J68</f>
        <v>0</v>
      </c>
      <c r="E85" s="549"/>
      <c r="F85"/>
      <c r="G85"/>
      <c r="H85"/>
      <c r="I85"/>
      <c r="J85"/>
      <c r="K85"/>
    </row>
    <row r="86" spans="2:11" hidden="1" x14ac:dyDescent="0.2">
      <c r="B86" t="s">
        <v>191</v>
      </c>
      <c r="C86" s="12">
        <f>'19_20 District Budget Summ-15'!L150</f>
        <v>0</v>
      </c>
      <c r="D86" s="12">
        <f>'PCFP-All Expense AA-1 Modi-15'!J69</f>
        <v>0</v>
      </c>
      <c r="E86" s="549"/>
      <c r="F86"/>
      <c r="G86"/>
      <c r="H86"/>
      <c r="I86"/>
      <c r="J86"/>
      <c r="K86"/>
    </row>
    <row r="87" spans="2:11" hidden="1" x14ac:dyDescent="0.2">
      <c r="B87" t="s">
        <v>192</v>
      </c>
      <c r="C87" s="12">
        <f>'19_20 District Budget Summ-15'!L151</f>
        <v>0</v>
      </c>
      <c r="D87" s="12">
        <f>'PCFP-All Expense AA-1 Modi-15'!J70</f>
        <v>0</v>
      </c>
      <c r="E87" s="549"/>
      <c r="F87"/>
      <c r="G87"/>
      <c r="H87"/>
      <c r="I87"/>
      <c r="J87"/>
      <c r="K87"/>
    </row>
    <row r="88" spans="2:11" hidden="1" x14ac:dyDescent="0.2">
      <c r="B88" t="s">
        <v>193</v>
      </c>
      <c r="C88" s="12">
        <f>'19_20 District Budget Summ-15'!L152</f>
        <v>0</v>
      </c>
      <c r="D88" s="12">
        <f>'PCFP-All Expense AA-1 Modi-15'!J71</f>
        <v>0</v>
      </c>
      <c r="E88" s="549"/>
      <c r="F88"/>
      <c r="G88"/>
      <c r="H88"/>
      <c r="I88"/>
      <c r="J88"/>
      <c r="K88"/>
    </row>
    <row r="89" spans="2:11" hidden="1" x14ac:dyDescent="0.2">
      <c r="B89" t="s">
        <v>194</v>
      </c>
      <c r="C89" s="12">
        <f>'19_20 District Budget Summ-15'!L153</f>
        <v>0</v>
      </c>
      <c r="D89" s="12">
        <f>'PCFP-All Expense AA-1 Modi-15'!J72</f>
        <v>0</v>
      </c>
      <c r="E89" s="549"/>
      <c r="F89"/>
      <c r="G89"/>
      <c r="H89"/>
      <c r="I89"/>
      <c r="J89"/>
      <c r="K89"/>
    </row>
    <row r="90" spans="2:11" hidden="1" x14ac:dyDescent="0.2">
      <c r="B90" t="s">
        <v>195</v>
      </c>
      <c r="C90" s="12">
        <f>'19_20 District Budget Summ-15'!L154</f>
        <v>0</v>
      </c>
      <c r="D90" s="12">
        <f>'PCFP-All Expense AA-1 Modi-15'!J73</f>
        <v>0</v>
      </c>
      <c r="E90" s="549"/>
      <c r="F90"/>
      <c r="G90"/>
      <c r="H90"/>
      <c r="I90"/>
      <c r="J90"/>
      <c r="K90"/>
    </row>
    <row r="91" spans="2:11" hidden="1" x14ac:dyDescent="0.2">
      <c r="B91" t="s">
        <v>196</v>
      </c>
      <c r="C91" s="12">
        <f>'19_20 District Budget Summ-15'!L155</f>
        <v>0</v>
      </c>
      <c r="D91" s="12">
        <f>'PCFP-All Expense AA-1 Modi-15'!J74</f>
        <v>0</v>
      </c>
      <c r="E91" s="549"/>
      <c r="F91"/>
      <c r="G91"/>
      <c r="H91"/>
      <c r="I91"/>
      <c r="J91"/>
      <c r="K91"/>
    </row>
    <row r="92" spans="2:11" hidden="1" x14ac:dyDescent="0.2">
      <c r="B92" t="s">
        <v>197</v>
      </c>
      <c r="C92" s="12">
        <f>'19_20 District Budget Summ-15'!L156</f>
        <v>0</v>
      </c>
      <c r="D92" s="12">
        <f>'PCFP-All Expense AA-1 Modi-15'!J75</f>
        <v>0</v>
      </c>
      <c r="E92" s="549"/>
      <c r="F92"/>
      <c r="G92"/>
      <c r="H92"/>
      <c r="I92"/>
      <c r="J92"/>
      <c r="K92"/>
    </row>
    <row r="93" spans="2:11" hidden="1" x14ac:dyDescent="0.2">
      <c r="B93" t="s">
        <v>198</v>
      </c>
      <c r="C93" s="12">
        <f>'19_20 District Budget Summ-15'!L157</f>
        <v>0</v>
      </c>
      <c r="D93" s="12">
        <f>'PCFP-All Expense AA-1 Modi-15'!J76</f>
        <v>0</v>
      </c>
      <c r="E93" s="549"/>
      <c r="F93"/>
      <c r="G93"/>
      <c r="H93"/>
      <c r="I93"/>
      <c r="J93"/>
      <c r="K93"/>
    </row>
    <row r="94" spans="2:11" hidden="1" x14ac:dyDescent="0.2">
      <c r="B94" t="s">
        <v>199</v>
      </c>
      <c r="C94" s="12">
        <f>'19_20 District Budget Summ-15'!L158</f>
        <v>0</v>
      </c>
      <c r="D94" s="12">
        <f>'PCFP-All Expense AA-1 Modi-15'!J77</f>
        <v>0</v>
      </c>
      <c r="E94" s="549"/>
      <c r="F94"/>
      <c r="G94"/>
      <c r="H94"/>
      <c r="I94"/>
      <c r="J94"/>
      <c r="K94"/>
    </row>
    <row r="95" spans="2:11" hidden="1" x14ac:dyDescent="0.2">
      <c r="B95" t="s">
        <v>200</v>
      </c>
      <c r="C95" s="12">
        <f>'19_20 District Budget Summ-15'!L159</f>
        <v>0</v>
      </c>
      <c r="D95" s="12">
        <f>'PCFP-All Expense AA-1 Modi-15'!J78</f>
        <v>0</v>
      </c>
      <c r="E95" s="549"/>
      <c r="F95"/>
      <c r="G95"/>
      <c r="H95"/>
      <c r="I95"/>
      <c r="J95"/>
      <c r="K95"/>
    </row>
    <row r="96" spans="2:11" hidden="1" x14ac:dyDescent="0.2">
      <c r="B96" t="s">
        <v>201</v>
      </c>
      <c r="C96" s="12">
        <f>'19_20 District Budget Summ-15'!L160</f>
        <v>0</v>
      </c>
      <c r="D96" s="12">
        <f>'PCFP-All Expense AA-1 Modi-15'!J79</f>
        <v>0</v>
      </c>
      <c r="E96" s="549"/>
      <c r="F96"/>
      <c r="G96"/>
      <c r="H96"/>
      <c r="I96"/>
      <c r="J96"/>
      <c r="K96"/>
    </row>
    <row r="97" spans="2:11" hidden="1" x14ac:dyDescent="0.2">
      <c r="B97" t="s">
        <v>202</v>
      </c>
      <c r="C97" s="12">
        <f>'19_20 District Budget Summ-15'!L161</f>
        <v>0</v>
      </c>
      <c r="D97" s="12">
        <f>'PCFP-All Expense AA-1 Modi-15'!J80</f>
        <v>97859</v>
      </c>
      <c r="E97" s="549"/>
      <c r="F97"/>
      <c r="G97"/>
      <c r="H97"/>
      <c r="I97"/>
      <c r="J97"/>
      <c r="K97"/>
    </row>
    <row r="98" spans="2:11" hidden="1" x14ac:dyDescent="0.2">
      <c r="B98" t="s">
        <v>203</v>
      </c>
      <c r="C98" s="12">
        <f>'19_20 District Budget Summ-15'!L162</f>
        <v>0</v>
      </c>
      <c r="D98" s="12">
        <f>'PCFP-All Expense AA-1 Modi-15'!J81</f>
        <v>0</v>
      </c>
      <c r="E98" s="549"/>
      <c r="F98"/>
      <c r="G98"/>
      <c r="H98"/>
      <c r="I98"/>
      <c r="J98"/>
      <c r="K98"/>
    </row>
    <row r="99" spans="2:11" hidden="1" x14ac:dyDescent="0.2">
      <c r="B99" t="s">
        <v>204</v>
      </c>
      <c r="C99" s="12">
        <f>'19_20 District Budget Summ-15'!L163</f>
        <v>0</v>
      </c>
      <c r="D99" s="12">
        <f>'PCFP-All Expense AA-1 Modi-15'!J82</f>
        <v>0</v>
      </c>
      <c r="E99" s="549"/>
      <c r="F99"/>
      <c r="G99"/>
      <c r="H99"/>
      <c r="I99"/>
      <c r="J99"/>
      <c r="K99"/>
    </row>
    <row r="100" spans="2:11" hidden="1" x14ac:dyDescent="0.2">
      <c r="B100" t="s">
        <v>205</v>
      </c>
      <c r="C100" s="12">
        <f>'19_20 District Budget Summ-15'!L164</f>
        <v>0</v>
      </c>
      <c r="D100" s="12">
        <f>'PCFP-All Expense AA-1 Modi-15'!J83</f>
        <v>596801</v>
      </c>
      <c r="E100" s="549"/>
      <c r="F100"/>
      <c r="G100"/>
      <c r="H100"/>
      <c r="I100"/>
      <c r="J100"/>
      <c r="K100"/>
    </row>
    <row r="101" spans="2:11" hidden="1" x14ac:dyDescent="0.2">
      <c r="B101" t="s">
        <v>206</v>
      </c>
      <c r="C101" s="12">
        <f>'19_20 District Budget Summ-15'!L165</f>
        <v>-20013</v>
      </c>
      <c r="D101" s="12">
        <f>'PCFP-All Expense AA-1 Modi-15'!J84</f>
        <v>0</v>
      </c>
      <c r="E101" s="549"/>
      <c r="F101"/>
      <c r="G101"/>
      <c r="H101"/>
      <c r="I101"/>
      <c r="J101"/>
      <c r="K101"/>
    </row>
    <row r="102" spans="2:11" hidden="1" x14ac:dyDescent="0.2">
      <c r="B102" t="s">
        <v>207</v>
      </c>
      <c r="C102" s="12">
        <f>'19_20 District Budget Summ-15'!L166</f>
        <v>0</v>
      </c>
      <c r="D102" s="12">
        <f>'PCFP-All Expense AA-1 Modi-15'!J85</f>
        <v>0</v>
      </c>
      <c r="E102" s="549"/>
      <c r="F102"/>
      <c r="G102"/>
      <c r="H102"/>
      <c r="I102"/>
      <c r="J102"/>
      <c r="K102"/>
    </row>
    <row r="103" spans="2:11" hidden="1" x14ac:dyDescent="0.2">
      <c r="B103" t="s">
        <v>208</v>
      </c>
      <c r="C103" s="12">
        <f>'19_20 District Budget Summ-15'!L167</f>
        <v>0</v>
      </c>
      <c r="D103" s="12">
        <f>'PCFP-All Expense AA-1 Modi-15'!J86</f>
        <v>0</v>
      </c>
      <c r="E103" s="549"/>
      <c r="F103"/>
      <c r="G103"/>
      <c r="H103"/>
      <c r="I103"/>
      <c r="J103"/>
      <c r="K103"/>
    </row>
    <row r="104" spans="2:11" hidden="1" x14ac:dyDescent="0.2">
      <c r="B104" t="s">
        <v>209</v>
      </c>
      <c r="C104" s="12">
        <f>'19_20 District Budget Summ-15'!L168</f>
        <v>0</v>
      </c>
      <c r="D104" s="12">
        <f>'PCFP-All Expense AA-1 Modi-15'!J87</f>
        <v>0</v>
      </c>
      <c r="E104" s="549"/>
      <c r="F104"/>
      <c r="G104"/>
      <c r="H104"/>
      <c r="I104"/>
      <c r="J104"/>
      <c r="K104"/>
    </row>
    <row r="105" spans="2:11" hidden="1" x14ac:dyDescent="0.2">
      <c r="B105" t="s">
        <v>210</v>
      </c>
      <c r="C105" s="12">
        <f>'19_20 District Budget Summ-15'!L169</f>
        <v>0</v>
      </c>
      <c r="D105" s="12">
        <f>'PCFP-All Expense AA-1 Modi-15'!J88</f>
        <v>0</v>
      </c>
      <c r="E105" s="549"/>
      <c r="F105"/>
      <c r="G105"/>
      <c r="H105"/>
      <c r="I105"/>
      <c r="J105"/>
      <c r="K105"/>
    </row>
    <row r="106" spans="2:11" hidden="1" x14ac:dyDescent="0.2">
      <c r="B106" t="s">
        <v>211</v>
      </c>
      <c r="C106" s="12">
        <f>'19_20 District Budget Summ-15'!L170</f>
        <v>0</v>
      </c>
      <c r="D106" s="12">
        <f>'PCFP-All Expense AA-1 Modi-15'!J89</f>
        <v>0</v>
      </c>
      <c r="E106" s="549"/>
      <c r="F106"/>
      <c r="G106"/>
      <c r="H106"/>
      <c r="I106"/>
      <c r="J106"/>
      <c r="K106"/>
    </row>
    <row r="107" spans="2:11" hidden="1" x14ac:dyDescent="0.2">
      <c r="B107" t="s">
        <v>212</v>
      </c>
      <c r="C107" s="12">
        <f>'19_20 District Budget Summ-15'!L171</f>
        <v>0</v>
      </c>
      <c r="D107" s="12">
        <f>'PCFP-All Expense AA-1 Modi-15'!J90</f>
        <v>0</v>
      </c>
      <c r="E107" s="549"/>
      <c r="F107"/>
      <c r="G107"/>
      <c r="H107"/>
      <c r="I107"/>
      <c r="J107"/>
      <c r="K107"/>
    </row>
    <row r="108" spans="2:11" hidden="1" x14ac:dyDescent="0.2">
      <c r="B108" t="s">
        <v>213</v>
      </c>
      <c r="C108" s="12">
        <f>'19_20 District Budget Summ-15'!L172</f>
        <v>0</v>
      </c>
      <c r="D108" s="12">
        <f>'PCFP-All Expense AA-1 Modi-15'!J91</f>
        <v>0</v>
      </c>
      <c r="E108" s="549"/>
      <c r="F108"/>
      <c r="G108"/>
      <c r="H108"/>
      <c r="I108"/>
      <c r="J108"/>
      <c r="K108"/>
    </row>
    <row r="109" spans="2:11" hidden="1" x14ac:dyDescent="0.2">
      <c r="B109" t="s">
        <v>214</v>
      </c>
      <c r="C109" s="12">
        <f>'19_20 District Budget Summ-15'!L173</f>
        <v>0</v>
      </c>
      <c r="D109" s="12">
        <f>'PCFP-All Expense AA-1 Modi-15'!J92</f>
        <v>921887</v>
      </c>
      <c r="E109" s="549"/>
      <c r="F109"/>
      <c r="G109"/>
      <c r="H109"/>
      <c r="I109"/>
      <c r="J109"/>
      <c r="K109"/>
    </row>
    <row r="110" spans="2:11" hidden="1" x14ac:dyDescent="0.2">
      <c r="B110" t="s">
        <v>215</v>
      </c>
      <c r="C110" s="12">
        <f>'19_20 District Budget Summ-15'!L174</f>
        <v>0</v>
      </c>
      <c r="D110" s="12">
        <f>'PCFP-All Expense AA-1 Modi-15'!J93</f>
        <v>0</v>
      </c>
      <c r="E110" s="549"/>
      <c r="F110"/>
      <c r="G110"/>
      <c r="H110"/>
      <c r="I110"/>
      <c r="J110"/>
      <c r="K110"/>
    </row>
    <row r="111" spans="2:11" hidden="1" x14ac:dyDescent="0.2">
      <c r="B111" t="s">
        <v>216</v>
      </c>
      <c r="C111" s="12">
        <f>'19_20 District Budget Summ-15'!L175</f>
        <v>0</v>
      </c>
      <c r="D111" s="12">
        <f>'PCFP-All Expense AA-1 Modi-15'!J94</f>
        <v>0</v>
      </c>
      <c r="E111" s="549"/>
      <c r="F111"/>
      <c r="G111"/>
      <c r="H111"/>
      <c r="I111"/>
      <c r="J111"/>
      <c r="K111"/>
    </row>
    <row r="112" spans="2:11" hidden="1" x14ac:dyDescent="0.2">
      <c r="B112" t="s">
        <v>217</v>
      </c>
      <c r="C112" s="12">
        <f>'19_20 District Budget Summ-15'!L176</f>
        <v>0</v>
      </c>
      <c r="D112" s="12">
        <f>'PCFP-All Expense AA-1 Modi-15'!J95</f>
        <v>0</v>
      </c>
      <c r="E112" s="549"/>
      <c r="F112"/>
      <c r="G112"/>
      <c r="H112"/>
      <c r="I112"/>
      <c r="J112"/>
      <c r="K112"/>
    </row>
    <row r="113" spans="1:11" hidden="1" x14ac:dyDescent="0.2">
      <c r="B113" t="s">
        <v>218</v>
      </c>
      <c r="C113" s="12">
        <f>'19_20 District Budget Summ-15'!L177</f>
        <v>0</v>
      </c>
      <c r="D113" s="12">
        <f>'PCFP-All Expense AA-1 Modi-15'!J96</f>
        <v>0</v>
      </c>
      <c r="E113" s="549"/>
      <c r="F113"/>
      <c r="G113"/>
      <c r="H113"/>
      <c r="I113"/>
      <c r="J113"/>
      <c r="K113"/>
    </row>
    <row r="114" spans="1:11" hidden="1" x14ac:dyDescent="0.2">
      <c r="B114" t="s">
        <v>219</v>
      </c>
      <c r="C114" s="12">
        <f>'19_20 District Budget Summ-15'!L178</f>
        <v>0</v>
      </c>
      <c r="D114" s="12">
        <f>'PCFP-All Expense AA-1 Modi-15'!J97</f>
        <v>0</v>
      </c>
      <c r="E114" s="549"/>
      <c r="F114"/>
      <c r="G114"/>
      <c r="H114"/>
      <c r="I114"/>
      <c r="J114"/>
      <c r="K114"/>
    </row>
    <row r="115" spans="1:11" hidden="1" x14ac:dyDescent="0.2">
      <c r="B115" t="s">
        <v>220</v>
      </c>
      <c r="C115" s="12">
        <f>'19_20 District Budget Summ-15'!L179</f>
        <v>0</v>
      </c>
      <c r="D115" s="12">
        <f>'PCFP-All Expense AA-1 Modi-15'!J98</f>
        <v>0</v>
      </c>
      <c r="E115" s="549"/>
      <c r="F115"/>
      <c r="G115"/>
      <c r="H115"/>
      <c r="I115"/>
      <c r="J115"/>
      <c r="K115"/>
    </row>
    <row r="116" spans="1:11" hidden="1" x14ac:dyDescent="0.2">
      <c r="B116" t="s">
        <v>221</v>
      </c>
      <c r="C116" s="12">
        <f>'19_20 District Budget Summ-15'!L180</f>
        <v>0</v>
      </c>
      <c r="D116" s="12">
        <f>'PCFP-All Expense AA-1 Modi-15'!J99</f>
        <v>0</v>
      </c>
      <c r="E116" s="549"/>
      <c r="F116"/>
      <c r="G116"/>
      <c r="H116"/>
      <c r="I116"/>
      <c r="J116"/>
      <c r="K116"/>
    </row>
    <row r="117" spans="1:11" hidden="1" x14ac:dyDescent="0.2">
      <c r="A117" s="2" t="s">
        <v>10</v>
      </c>
      <c r="B117" t="s">
        <v>142</v>
      </c>
      <c r="C117" s="12">
        <f>'19_20 District Budget Summ-15'!L181</f>
        <v>0</v>
      </c>
      <c r="D117" s="12">
        <f>'PCFP-All Expense AA-1 Modi-15'!J100</f>
        <v>0</v>
      </c>
      <c r="E117" s="549"/>
      <c r="F117"/>
      <c r="G117"/>
      <c r="H117"/>
      <c r="I117"/>
      <c r="J117"/>
      <c r="K117"/>
    </row>
    <row r="118" spans="1:11" hidden="1" x14ac:dyDescent="0.2">
      <c r="A118" s="2" t="s">
        <v>10</v>
      </c>
      <c r="B118" t="s">
        <v>141</v>
      </c>
      <c r="C118" s="12">
        <f>'19_20 District Budget Summ-15'!L182</f>
        <v>0</v>
      </c>
      <c r="D118" s="12">
        <f>'PCFP-All Expense AA-1 Modi-15'!J101</f>
        <v>0</v>
      </c>
      <c r="E118" s="549"/>
      <c r="F118"/>
      <c r="G118"/>
      <c r="H118"/>
      <c r="I118"/>
      <c r="J118"/>
      <c r="K118"/>
    </row>
    <row r="119" spans="1:11" hidden="1" x14ac:dyDescent="0.2">
      <c r="A119" s="2" t="s">
        <v>33</v>
      </c>
      <c r="B119" t="s">
        <v>222</v>
      </c>
      <c r="C119" s="12">
        <f>'19_20 District Budget Summ-15'!L183</f>
        <v>0</v>
      </c>
      <c r="D119" s="12">
        <f>'PCFP-All Expense AA-1 Modi-15'!J102</f>
        <v>0</v>
      </c>
      <c r="E119" s="549"/>
      <c r="F119"/>
      <c r="G119"/>
      <c r="H119"/>
      <c r="I119"/>
      <c r="J119"/>
      <c r="K119"/>
    </row>
    <row r="120" spans="1:11" hidden="1" x14ac:dyDescent="0.2">
      <c r="A120" s="2" t="s">
        <v>10</v>
      </c>
      <c r="B120" t="s">
        <v>138</v>
      </c>
      <c r="C120" s="12">
        <f>'19_20 District Budget Summ-15'!L184</f>
        <v>0</v>
      </c>
      <c r="D120" s="12">
        <f>'PCFP-All Expense AA-1 Modi-15'!J103</f>
        <v>0</v>
      </c>
      <c r="E120" s="549"/>
      <c r="F120"/>
      <c r="G120"/>
      <c r="H120"/>
      <c r="I120"/>
      <c r="J120"/>
      <c r="K120"/>
    </row>
    <row r="121" spans="1:11" hidden="1" x14ac:dyDescent="0.2">
      <c r="A121" s="2" t="s">
        <v>10</v>
      </c>
      <c r="B121" t="s">
        <v>136</v>
      </c>
      <c r="C121" s="12">
        <f>'19_20 District Budget Summ-15'!L185</f>
        <v>0</v>
      </c>
      <c r="D121" s="12">
        <f>'PCFP-All Expense AA-1 Modi-15'!J104</f>
        <v>0</v>
      </c>
      <c r="E121" s="549"/>
      <c r="F121"/>
      <c r="G121"/>
      <c r="H121"/>
      <c r="I121"/>
      <c r="J121"/>
      <c r="K121"/>
    </row>
    <row r="122" spans="1:11" hidden="1" x14ac:dyDescent="0.2">
      <c r="B122" t="s">
        <v>223</v>
      </c>
      <c r="C122" s="12">
        <f>'19_20 District Budget Summ-15'!L186</f>
        <v>0</v>
      </c>
      <c r="D122" s="12">
        <f>'PCFP-All Expense AA-1 Modi-15'!J105</f>
        <v>0</v>
      </c>
      <c r="E122" s="549"/>
      <c r="F122"/>
      <c r="G122"/>
      <c r="H122"/>
      <c r="I122"/>
      <c r="J122"/>
      <c r="K122"/>
    </row>
    <row r="123" spans="1:11" hidden="1" x14ac:dyDescent="0.2">
      <c r="B123" t="s">
        <v>224</v>
      </c>
      <c r="C123" s="12">
        <f>'19_20 District Budget Summ-15'!L187</f>
        <v>0</v>
      </c>
      <c r="D123" s="12">
        <f>'PCFP-All Expense AA-1 Modi-15'!J106</f>
        <v>0</v>
      </c>
      <c r="E123" s="549"/>
      <c r="F123"/>
      <c r="G123"/>
      <c r="H123"/>
      <c r="I123"/>
      <c r="J123"/>
      <c r="K123"/>
    </row>
    <row r="124" spans="1:11" hidden="1" x14ac:dyDescent="0.2">
      <c r="B124" t="s">
        <v>225</v>
      </c>
      <c r="C124" s="12">
        <f>'19_20 District Budget Summ-15'!L188</f>
        <v>0</v>
      </c>
      <c r="D124" s="12">
        <f>'PCFP-All Expense AA-1 Modi-15'!J107</f>
        <v>0</v>
      </c>
      <c r="E124" s="549"/>
      <c r="F124"/>
      <c r="G124"/>
      <c r="H124"/>
      <c r="I124"/>
      <c r="J124"/>
      <c r="K124"/>
    </row>
    <row r="125" spans="1:11" hidden="1" x14ac:dyDescent="0.2">
      <c r="B125" t="s">
        <v>226</v>
      </c>
      <c r="C125" s="12">
        <f>'19_20 District Budget Summ-15'!L189</f>
        <v>0</v>
      </c>
      <c r="D125" s="12">
        <f>'PCFP-All Expense AA-1 Modi-15'!J108</f>
        <v>0</v>
      </c>
      <c r="E125" s="549"/>
      <c r="F125"/>
      <c r="G125"/>
      <c r="H125"/>
      <c r="I125"/>
      <c r="J125"/>
      <c r="K125"/>
    </row>
    <row r="126" spans="1:11" hidden="1" x14ac:dyDescent="0.2">
      <c r="B126" t="s">
        <v>227</v>
      </c>
      <c r="C126" s="12">
        <f>'19_20 District Budget Summ-15'!L190</f>
        <v>0</v>
      </c>
      <c r="D126" s="12">
        <f>'PCFP-All Expense AA-1 Modi-15'!J109</f>
        <v>0</v>
      </c>
      <c r="E126" s="549"/>
      <c r="F126"/>
      <c r="G126"/>
      <c r="H126"/>
      <c r="I126"/>
      <c r="J126"/>
      <c r="K126"/>
    </row>
    <row r="127" spans="1:11" hidden="1" x14ac:dyDescent="0.2">
      <c r="B127" t="s">
        <v>228</v>
      </c>
      <c r="C127" s="12">
        <f>'19_20 District Budget Summ-15'!L191</f>
        <v>0</v>
      </c>
      <c r="D127" s="12">
        <f>'PCFP-All Expense AA-1 Modi-15'!J110</f>
        <v>0</v>
      </c>
      <c r="E127" s="549"/>
      <c r="F127"/>
      <c r="G127"/>
      <c r="H127"/>
      <c r="I127"/>
      <c r="J127"/>
      <c r="K127"/>
    </row>
    <row r="128" spans="1:11" hidden="1" x14ac:dyDescent="0.2">
      <c r="B128" t="s">
        <v>229</v>
      </c>
      <c r="C128" s="12">
        <f>'19_20 District Budget Summ-15'!L192</f>
        <v>0</v>
      </c>
      <c r="D128" s="12">
        <f>'PCFP-All Expense AA-1 Modi-15'!J111</f>
        <v>0</v>
      </c>
      <c r="E128" s="549"/>
      <c r="F128"/>
      <c r="G128"/>
      <c r="H128"/>
      <c r="I128"/>
      <c r="J128"/>
      <c r="K128"/>
    </row>
    <row r="129" spans="2:11" hidden="1" x14ac:dyDescent="0.2">
      <c r="B129" t="s">
        <v>230</v>
      </c>
      <c r="C129" s="12">
        <f>'19_20 District Budget Summ-15'!L193</f>
        <v>0</v>
      </c>
      <c r="D129" s="12">
        <f>'PCFP-All Expense AA-1 Modi-15'!J112</f>
        <v>0</v>
      </c>
      <c r="E129" s="549"/>
      <c r="F129"/>
      <c r="G129"/>
      <c r="H129"/>
      <c r="I129"/>
      <c r="J129"/>
      <c r="K129"/>
    </row>
    <row r="130" spans="2:11" hidden="1" x14ac:dyDescent="0.2">
      <c r="B130" t="s">
        <v>231</v>
      </c>
      <c r="C130" s="12">
        <f>'19_20 District Budget Summ-15'!L194</f>
        <v>0</v>
      </c>
      <c r="D130" s="12">
        <f>'PCFP-All Expense AA-1 Modi-15'!J113</f>
        <v>0</v>
      </c>
      <c r="E130" s="549"/>
      <c r="F130"/>
      <c r="G130"/>
      <c r="H130"/>
      <c r="I130"/>
      <c r="J130"/>
      <c r="K130"/>
    </row>
    <row r="131" spans="2:11" hidden="1" x14ac:dyDescent="0.2">
      <c r="B131" t="s">
        <v>232</v>
      </c>
      <c r="C131" s="12">
        <f>'19_20 District Budget Summ-15'!L195</f>
        <v>0</v>
      </c>
      <c r="D131" s="12">
        <f>'PCFP-All Expense AA-1 Modi-15'!J114</f>
        <v>0</v>
      </c>
      <c r="E131" s="549"/>
      <c r="F131"/>
      <c r="G131"/>
      <c r="H131"/>
      <c r="I131"/>
      <c r="J131"/>
      <c r="K131"/>
    </row>
    <row r="132" spans="2:11" hidden="1" x14ac:dyDescent="0.2">
      <c r="B132" t="s">
        <v>233</v>
      </c>
      <c r="C132" s="12">
        <f>'19_20 District Budget Summ-15'!L196</f>
        <v>0</v>
      </c>
      <c r="D132" s="12">
        <f>'PCFP-All Expense AA-1 Modi-15'!J115</f>
        <v>0</v>
      </c>
      <c r="E132" s="549"/>
      <c r="F132"/>
      <c r="G132"/>
      <c r="H132"/>
      <c r="I132"/>
      <c r="J132"/>
      <c r="K132"/>
    </row>
    <row r="133" spans="2:11" hidden="1" x14ac:dyDescent="0.2">
      <c r="B133" t="s">
        <v>234</v>
      </c>
      <c r="C133" s="12">
        <f>'19_20 District Budget Summ-15'!L197</f>
        <v>0</v>
      </c>
      <c r="D133" s="12">
        <f>'PCFP-All Expense AA-1 Modi-15'!J116</f>
        <v>0</v>
      </c>
      <c r="E133" s="549"/>
      <c r="F133"/>
      <c r="G133"/>
      <c r="H133"/>
      <c r="I133"/>
      <c r="J133"/>
      <c r="K133"/>
    </row>
    <row r="134" spans="2:11" hidden="1" x14ac:dyDescent="0.2">
      <c r="B134" t="s">
        <v>9</v>
      </c>
      <c r="C134" s="12">
        <f>'19_20 District Budget Summ-15'!L198</f>
        <v>-194759</v>
      </c>
      <c r="D134" s="12">
        <f>'PCFP-All Expense AA-1 Modi-15'!J117</f>
        <v>652141</v>
      </c>
      <c r="E134" s="549"/>
      <c r="F134"/>
      <c r="G134"/>
      <c r="H134"/>
      <c r="I134"/>
      <c r="J134"/>
      <c r="K134"/>
    </row>
    <row r="135" spans="2:11" hidden="1" x14ac:dyDescent="0.2">
      <c r="B135" s="3" t="s">
        <v>235</v>
      </c>
      <c r="C135" s="12">
        <f>'19_20 District Budget Summ-15'!L200</f>
        <v>0</v>
      </c>
      <c r="D135" s="12">
        <f>'PCFP-All Expense AA-1 Modi-15'!J118</f>
        <v>0</v>
      </c>
      <c r="E135" s="549"/>
      <c r="F135"/>
      <c r="G135"/>
      <c r="H135"/>
      <c r="I135"/>
      <c r="J135"/>
      <c r="K135"/>
    </row>
    <row r="136" spans="2:11" hidden="1" x14ac:dyDescent="0.2">
      <c r="B136" t="s">
        <v>236</v>
      </c>
      <c r="C136" s="12">
        <f>'19_20 District Budget Summ-15'!L201</f>
        <v>0</v>
      </c>
      <c r="D136" s="12">
        <f>'PCFP-All Expense AA-1 Modi-15'!J119</f>
        <v>0</v>
      </c>
      <c r="E136" s="549"/>
      <c r="F136"/>
      <c r="G136"/>
      <c r="H136"/>
      <c r="I136"/>
      <c r="J136"/>
      <c r="K136"/>
    </row>
    <row r="137" spans="2:11" hidden="1" x14ac:dyDescent="0.2">
      <c r="B137" t="s">
        <v>237</v>
      </c>
      <c r="C137" s="12">
        <f>'19_20 District Budget Summ-15'!L202</f>
        <v>0</v>
      </c>
      <c r="D137" s="12">
        <f>'PCFP-All Expense AA-1 Modi-15'!J120</f>
        <v>0</v>
      </c>
      <c r="E137" s="549"/>
      <c r="F137"/>
      <c r="G137"/>
      <c r="H137"/>
      <c r="I137"/>
      <c r="J137"/>
      <c r="K137"/>
    </row>
    <row r="138" spans="2:11" hidden="1" x14ac:dyDescent="0.2">
      <c r="B138" t="s">
        <v>238</v>
      </c>
      <c r="C138" s="12">
        <f>'19_20 District Budget Summ-15'!L203</f>
        <v>0</v>
      </c>
      <c r="D138" s="12">
        <f>'PCFP-All Expense AA-1 Modi-15'!J121</f>
        <v>35567</v>
      </c>
      <c r="E138" s="549"/>
      <c r="F138"/>
      <c r="G138"/>
      <c r="H138"/>
      <c r="I138"/>
      <c r="J138"/>
      <c r="K138"/>
    </row>
    <row r="139" spans="2:11" hidden="1" x14ac:dyDescent="0.2">
      <c r="B139" t="s">
        <v>239</v>
      </c>
      <c r="C139" s="12">
        <f>'19_20 District Budget Summ-15'!L204</f>
        <v>0</v>
      </c>
      <c r="D139" s="12">
        <f>'PCFP-All Expense AA-1 Modi-15'!J122</f>
        <v>0</v>
      </c>
      <c r="E139" s="549"/>
      <c r="F139"/>
      <c r="G139"/>
      <c r="H139"/>
      <c r="I139"/>
      <c r="J139"/>
      <c r="K139"/>
    </row>
    <row r="140" spans="2:11" hidden="1" x14ac:dyDescent="0.2">
      <c r="B140" t="s">
        <v>240</v>
      </c>
      <c r="C140" s="12">
        <f>'19_20 District Budget Summ-15'!L205</f>
        <v>0</v>
      </c>
      <c r="D140" s="12">
        <f>'PCFP-All Expense AA-1 Modi-15'!J123</f>
        <v>0</v>
      </c>
      <c r="E140" s="549"/>
      <c r="F140"/>
      <c r="G140"/>
      <c r="H140"/>
      <c r="I140"/>
      <c r="J140"/>
      <c r="K140"/>
    </row>
    <row r="141" spans="2:11" hidden="1" x14ac:dyDescent="0.2">
      <c r="B141" t="s">
        <v>241</v>
      </c>
      <c r="C141" s="12">
        <f>'19_20 District Budget Summ-15'!L206</f>
        <v>0</v>
      </c>
      <c r="D141" s="12">
        <f>'PCFP-All Expense AA-1 Modi-15'!J124</f>
        <v>0</v>
      </c>
      <c r="E141" s="549"/>
      <c r="F141"/>
      <c r="G141"/>
      <c r="H141"/>
      <c r="I141"/>
      <c r="J141"/>
      <c r="K141"/>
    </row>
    <row r="142" spans="2:11" hidden="1" x14ac:dyDescent="0.2">
      <c r="B142" t="s">
        <v>242</v>
      </c>
      <c r="C142" s="12">
        <f>'19_20 District Budget Summ-15'!L207</f>
        <v>0</v>
      </c>
      <c r="D142" s="12">
        <f>'PCFP-All Expense AA-1 Modi-15'!J125</f>
        <v>0</v>
      </c>
      <c r="E142" s="549"/>
      <c r="F142"/>
      <c r="G142"/>
      <c r="H142"/>
      <c r="I142"/>
      <c r="J142"/>
      <c r="K142"/>
    </row>
    <row r="143" spans="2:11" hidden="1" x14ac:dyDescent="0.2">
      <c r="B143" t="s">
        <v>243</v>
      </c>
      <c r="C143" s="12">
        <f>'19_20 District Budget Summ-15'!L208</f>
        <v>0</v>
      </c>
      <c r="D143" s="12">
        <f>'PCFP-All Expense AA-1 Modi-15'!J126</f>
        <v>0</v>
      </c>
      <c r="E143" s="549"/>
      <c r="F143"/>
      <c r="G143"/>
      <c r="H143"/>
      <c r="I143"/>
      <c r="J143"/>
      <c r="K143"/>
    </row>
    <row r="144" spans="2:11" hidden="1" x14ac:dyDescent="0.2">
      <c r="B144" t="s">
        <v>244</v>
      </c>
      <c r="C144" s="12">
        <f>'19_20 District Budget Summ-15'!L209</f>
        <v>0</v>
      </c>
      <c r="D144" s="12">
        <f>'PCFP-All Expense AA-1 Modi-15'!J127</f>
        <v>0</v>
      </c>
      <c r="E144" s="549"/>
      <c r="F144"/>
      <c r="G144"/>
      <c r="H144"/>
      <c r="I144"/>
      <c r="J144"/>
      <c r="K144"/>
    </row>
    <row r="145" spans="2:11" hidden="1" x14ac:dyDescent="0.2">
      <c r="B145" s="2" t="s">
        <v>245</v>
      </c>
      <c r="E145" s="549"/>
      <c r="F145"/>
      <c r="G145"/>
      <c r="H145"/>
      <c r="I145"/>
      <c r="J145"/>
      <c r="K145"/>
    </row>
    <row r="146" spans="2:11" hidden="1" x14ac:dyDescent="0.2">
      <c r="B146" t="s">
        <v>246</v>
      </c>
      <c r="C146" s="12">
        <f>'19_20 District Budget Summ-15'!L211</f>
        <v>0</v>
      </c>
      <c r="D146" s="12">
        <f>'PCFP-All Expense AA-1 Modi-15'!J129</f>
        <v>0</v>
      </c>
      <c r="E146" s="549"/>
      <c r="F146"/>
      <c r="G146"/>
      <c r="H146"/>
      <c r="I146"/>
      <c r="J146"/>
      <c r="K146"/>
    </row>
    <row r="147" spans="2:11" hidden="1" x14ac:dyDescent="0.2">
      <c r="B147" t="s">
        <v>247</v>
      </c>
      <c r="C147" s="12">
        <f>'19_20 District Budget Summ-15'!L212</f>
        <v>0</v>
      </c>
      <c r="D147" s="12">
        <f>'PCFP-All Expense AA-1 Modi-15'!J130</f>
        <v>0</v>
      </c>
      <c r="E147" s="549"/>
      <c r="F147"/>
      <c r="G147"/>
      <c r="H147"/>
      <c r="I147"/>
      <c r="J147"/>
      <c r="K147"/>
    </row>
    <row r="148" spans="2:11" hidden="1" x14ac:dyDescent="0.2">
      <c r="B148" t="s">
        <v>248</v>
      </c>
      <c r="C148" s="12">
        <f>'19_20 District Budget Summ-15'!L213</f>
        <v>0</v>
      </c>
      <c r="D148" s="12">
        <f>'PCFP-All Expense AA-1 Modi-15'!J131</f>
        <v>0</v>
      </c>
      <c r="E148" s="549"/>
      <c r="F148"/>
      <c r="G148"/>
      <c r="H148"/>
      <c r="I148"/>
      <c r="J148"/>
      <c r="K148"/>
    </row>
    <row r="149" spans="2:11" hidden="1" x14ac:dyDescent="0.2">
      <c r="B149" t="s">
        <v>249</v>
      </c>
      <c r="C149" s="12">
        <f>'19_20 District Budget Summ-15'!L214</f>
        <v>0</v>
      </c>
      <c r="D149" s="12">
        <f>'PCFP-All Expense AA-1 Modi-15'!J132</f>
        <v>0</v>
      </c>
      <c r="E149" s="549"/>
      <c r="F149"/>
      <c r="G149"/>
      <c r="H149"/>
      <c r="I149"/>
      <c r="J149"/>
      <c r="K149"/>
    </row>
    <row r="150" spans="2:11" hidden="1" x14ac:dyDescent="0.2">
      <c r="B150" t="s">
        <v>250</v>
      </c>
      <c r="C150" s="12">
        <f>'19_20 District Budget Summ-15'!L215</f>
        <v>0</v>
      </c>
      <c r="D150" s="12">
        <f>'PCFP-All Expense AA-1 Modi-15'!J133</f>
        <v>0</v>
      </c>
      <c r="E150" s="549"/>
      <c r="F150"/>
      <c r="G150"/>
      <c r="H150"/>
      <c r="I150"/>
      <c r="J150"/>
      <c r="K150"/>
    </row>
    <row r="151" spans="2:11" hidden="1" x14ac:dyDescent="0.2">
      <c r="B151" t="s">
        <v>251</v>
      </c>
      <c r="C151" s="12">
        <f>'19_20 District Budget Summ-15'!L216</f>
        <v>0</v>
      </c>
      <c r="D151" s="12">
        <f>'PCFP-All Expense AA-1 Modi-15'!J134</f>
        <v>0</v>
      </c>
      <c r="E151" s="549"/>
      <c r="F151"/>
      <c r="G151"/>
      <c r="H151"/>
      <c r="I151"/>
      <c r="J151"/>
      <c r="K151"/>
    </row>
    <row r="152" spans="2:11" hidden="1" x14ac:dyDescent="0.2">
      <c r="B152" t="s">
        <v>252</v>
      </c>
      <c r="C152" s="12">
        <f>'19_20 District Budget Summ-15'!L217</f>
        <v>0</v>
      </c>
      <c r="D152" s="12">
        <f>'PCFP-All Expense AA-1 Modi-15'!J135</f>
        <v>0</v>
      </c>
      <c r="E152" s="549"/>
      <c r="F152"/>
      <c r="G152"/>
      <c r="H152"/>
      <c r="I152"/>
      <c r="J152"/>
      <c r="K152"/>
    </row>
    <row r="153" spans="2:11" hidden="1" x14ac:dyDescent="0.2">
      <c r="B153" t="s">
        <v>253</v>
      </c>
      <c r="C153" s="12">
        <f>'19_20 District Budget Summ-15'!L218</f>
        <v>0</v>
      </c>
      <c r="D153" s="12">
        <f>'PCFP-All Expense AA-1 Modi-15'!J136</f>
        <v>0</v>
      </c>
      <c r="E153" s="549"/>
      <c r="F153"/>
      <c r="G153"/>
      <c r="H153"/>
      <c r="I153"/>
      <c r="J153"/>
      <c r="K153"/>
    </row>
    <row r="154" spans="2:11" hidden="1" x14ac:dyDescent="0.2">
      <c r="B154" t="s">
        <v>254</v>
      </c>
      <c r="C154" s="12">
        <f>'19_20 District Budget Summ-15'!L219</f>
        <v>0</v>
      </c>
      <c r="D154" s="12">
        <f>'PCFP-All Expense AA-1 Modi-15'!J137</f>
        <v>0</v>
      </c>
      <c r="E154" s="549"/>
      <c r="F154"/>
      <c r="G154"/>
      <c r="H154"/>
      <c r="I154"/>
      <c r="J154"/>
      <c r="K154"/>
    </row>
    <row r="155" spans="2:11" hidden="1" x14ac:dyDescent="0.2">
      <c r="B155" t="s">
        <v>255</v>
      </c>
      <c r="C155" s="12">
        <f>'19_20 District Budget Summ-15'!L220</f>
        <v>0</v>
      </c>
      <c r="D155" s="12">
        <f>'PCFP-All Expense AA-1 Modi-15'!J138</f>
        <v>0</v>
      </c>
      <c r="E155" s="549"/>
      <c r="F155"/>
      <c r="G155"/>
      <c r="H155"/>
      <c r="I155"/>
      <c r="J155"/>
      <c r="K155"/>
    </row>
    <row r="156" spans="2:11" hidden="1" x14ac:dyDescent="0.2">
      <c r="B156" t="s">
        <v>256</v>
      </c>
      <c r="C156" s="12">
        <f>'19_20 District Budget Summ-15'!L221</f>
        <v>0</v>
      </c>
      <c r="D156" s="12">
        <f>'PCFP-All Expense AA-1 Modi-15'!J139</f>
        <v>0</v>
      </c>
      <c r="E156" s="549"/>
      <c r="F156"/>
      <c r="G156"/>
      <c r="H156"/>
      <c r="I156"/>
      <c r="J156"/>
      <c r="K156"/>
    </row>
    <row r="157" spans="2:11" hidden="1" x14ac:dyDescent="0.2">
      <c r="B157" t="s">
        <v>257</v>
      </c>
      <c r="C157" s="12">
        <f>'19_20 District Budget Summ-15'!L222</f>
        <v>0</v>
      </c>
      <c r="D157" s="12">
        <f>'PCFP-All Expense AA-1 Modi-15'!J140</f>
        <v>0</v>
      </c>
      <c r="E157" s="549"/>
      <c r="F157"/>
      <c r="G157"/>
      <c r="H157"/>
      <c r="I157"/>
      <c r="J157"/>
      <c r="K157"/>
    </row>
    <row r="158" spans="2:11" hidden="1" x14ac:dyDescent="0.2">
      <c r="B158" t="s">
        <v>258</v>
      </c>
      <c r="C158" s="12">
        <f>'19_20 District Budget Summ-15'!L223</f>
        <v>0</v>
      </c>
      <c r="D158" s="12">
        <f>'PCFP-All Expense AA-1 Modi-15'!J141</f>
        <v>0</v>
      </c>
      <c r="E158" s="549"/>
      <c r="F158"/>
      <c r="G158"/>
      <c r="H158"/>
      <c r="I158"/>
      <c r="J158"/>
      <c r="K158"/>
    </row>
    <row r="159" spans="2:11" hidden="1" x14ac:dyDescent="0.2">
      <c r="B159" t="s">
        <v>259</v>
      </c>
      <c r="C159" s="12">
        <f>'19_20 District Budget Summ-15'!L224</f>
        <v>0</v>
      </c>
      <c r="D159" s="12">
        <f>'PCFP-All Expense AA-1 Modi-15'!J142</f>
        <v>0</v>
      </c>
      <c r="E159" s="549"/>
      <c r="F159"/>
      <c r="G159"/>
      <c r="H159"/>
      <c r="I159"/>
      <c r="J159"/>
      <c r="K159"/>
    </row>
    <row r="160" spans="2:11" hidden="1" x14ac:dyDescent="0.2">
      <c r="B160" t="s">
        <v>260</v>
      </c>
      <c r="C160" s="12">
        <f>'19_20 District Budget Summ-15'!L225</f>
        <v>0</v>
      </c>
      <c r="D160" s="12">
        <f>'PCFP-All Expense AA-1 Modi-15'!J143</f>
        <v>0</v>
      </c>
      <c r="E160" s="549"/>
      <c r="F160"/>
      <c r="G160"/>
      <c r="H160"/>
      <c r="I160"/>
      <c r="J160"/>
      <c r="K160"/>
    </row>
    <row r="161" spans="2:11" hidden="1" x14ac:dyDescent="0.2">
      <c r="B161" t="str">
        <f>'PCFP-All Expense AA-1 Modi-15'!B146</f>
        <v>Less:  Interfund Transfers</v>
      </c>
      <c r="C161" s="12">
        <v>0</v>
      </c>
      <c r="D161" s="43">
        <f>'PCFP-All Expense AA-1 Modi-15'!J146</f>
        <v>-214772</v>
      </c>
      <c r="E161" s="549"/>
      <c r="F161"/>
      <c r="G161"/>
      <c r="H161"/>
      <c r="I161"/>
      <c r="J161"/>
      <c r="K161"/>
    </row>
    <row r="162" spans="2:11" x14ac:dyDescent="0.2">
      <c r="C162"/>
      <c r="D162"/>
      <c r="E162"/>
      <c r="F162"/>
      <c r="G162"/>
      <c r="H162"/>
      <c r="I162"/>
      <c r="J162"/>
      <c r="K16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6FA3A-F3DF-4A2D-AAB8-C04E54B133D0}">
  <dimension ref="A1:P226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5.5703125" style="12" bestFit="1" customWidth="1"/>
    <col min="4" max="4" width="14.5703125" style="12" bestFit="1" customWidth="1"/>
    <col min="5" max="5" width="15.85546875" style="12" bestFit="1" customWidth="1"/>
    <col min="6" max="7" width="16.42578125" style="12" bestFit="1" customWidth="1"/>
    <col min="8" max="8" width="14.28515625" style="12" bestFit="1" customWidth="1"/>
    <col min="9" max="9" width="18" style="12" bestFit="1" customWidth="1"/>
    <col min="10" max="10" width="17.42578125" style="12" bestFit="1" customWidth="1"/>
    <col min="11" max="11" width="23" style="12" bestFit="1" customWidth="1"/>
    <col min="12" max="12" width="35.7109375" bestFit="1" customWidth="1"/>
    <col min="13" max="13" width="14.140625" customWidth="1"/>
    <col min="14" max="15" width="14.140625" hidden="1" customWidth="1"/>
  </cols>
  <sheetData>
    <row r="1" spans="1:15" s="6" customFormat="1" ht="18" x14ac:dyDescent="0.25">
      <c r="B1" s="34" t="s">
        <v>261</v>
      </c>
      <c r="C1" s="332" t="s">
        <v>742</v>
      </c>
      <c r="D1" s="547" t="s">
        <v>119</v>
      </c>
      <c r="E1" s="332" t="s">
        <v>262</v>
      </c>
      <c r="F1" s="333">
        <v>19993760</v>
      </c>
      <c r="G1" s="35"/>
      <c r="I1" s="35"/>
    </row>
    <row r="3" spans="1:15" s="15" customFormat="1" ht="25.5" x14ac:dyDescent="0.2">
      <c r="A3" s="13"/>
      <c r="B3" s="13" t="s">
        <v>120</v>
      </c>
      <c r="C3" s="14" t="s">
        <v>263</v>
      </c>
      <c r="D3" s="14" t="s">
        <v>173</v>
      </c>
      <c r="E3" s="14" t="s">
        <v>188</v>
      </c>
      <c r="F3" s="14" t="s">
        <v>201</v>
      </c>
      <c r="G3" s="14" t="s">
        <v>205</v>
      </c>
      <c r="H3" s="14" t="s">
        <v>237</v>
      </c>
      <c r="I3" s="14" t="s">
        <v>9</v>
      </c>
      <c r="J3" s="14" t="s">
        <v>745</v>
      </c>
      <c r="K3" s="14" t="s">
        <v>272</v>
      </c>
      <c r="L3" s="14" t="s">
        <v>273</v>
      </c>
    </row>
    <row r="4" spans="1:15" x14ac:dyDescent="0.2"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N4" s="17">
        <f>SUM(N5:N12)</f>
        <v>6914457</v>
      </c>
    </row>
    <row r="5" spans="1:15" s="3" customFormat="1" x14ac:dyDescent="0.2">
      <c r="B5" s="3" t="s">
        <v>274</v>
      </c>
      <c r="C5" s="957">
        <v>5134984</v>
      </c>
      <c r="D5" s="957">
        <v>1091670</v>
      </c>
      <c r="E5" s="957">
        <v>0</v>
      </c>
      <c r="F5" s="957">
        <v>0</v>
      </c>
      <c r="G5" s="957">
        <v>0</v>
      </c>
      <c r="H5" s="957">
        <v>0</v>
      </c>
      <c r="I5" s="957">
        <v>0</v>
      </c>
      <c r="J5" s="957">
        <v>0</v>
      </c>
      <c r="K5" s="957">
        <v>0</v>
      </c>
      <c r="L5" s="905" t="s">
        <v>274</v>
      </c>
      <c r="M5" s="939">
        <f>SUM(C5:K5)</f>
        <v>6226654</v>
      </c>
      <c r="N5" s="523">
        <f>M5-D5</f>
        <v>5134984</v>
      </c>
      <c r="O5" s="3" t="s">
        <v>275</v>
      </c>
    </row>
    <row r="6" spans="1:15" s="3" customFormat="1" hidden="1" x14ac:dyDescent="0.2">
      <c r="B6" s="3" t="s">
        <v>474</v>
      </c>
      <c r="C6" s="957">
        <v>0</v>
      </c>
      <c r="D6" s="957">
        <v>0</v>
      </c>
      <c r="E6" s="957">
        <v>0</v>
      </c>
      <c r="F6" s="957">
        <v>0</v>
      </c>
      <c r="G6" s="957">
        <v>0</v>
      </c>
      <c r="H6" s="957">
        <v>0</v>
      </c>
      <c r="I6" s="957">
        <v>0</v>
      </c>
      <c r="J6" s="957">
        <v>0</v>
      </c>
      <c r="K6" s="957">
        <v>0</v>
      </c>
      <c r="L6" s="905" t="s">
        <v>474</v>
      </c>
      <c r="M6" s="939">
        <f t="shared" ref="M6:M34" si="0">SUM(C6:K6)</f>
        <v>0</v>
      </c>
      <c r="N6" s="523">
        <f>M6-D6</f>
        <v>0</v>
      </c>
      <c r="O6" s="3" t="s">
        <v>473</v>
      </c>
    </row>
    <row r="7" spans="1:15" s="3" customFormat="1" x14ac:dyDescent="0.2">
      <c r="B7" s="3" t="s">
        <v>276</v>
      </c>
      <c r="C7" s="957">
        <v>1573504</v>
      </c>
      <c r="D7" s="957">
        <v>0</v>
      </c>
      <c r="E7" s="957">
        <v>0</v>
      </c>
      <c r="F7" s="957">
        <v>0</v>
      </c>
      <c r="G7" s="957">
        <v>0</v>
      </c>
      <c r="H7" s="957">
        <v>0</v>
      </c>
      <c r="I7" s="957">
        <v>0</v>
      </c>
      <c r="J7" s="957">
        <v>0</v>
      </c>
      <c r="K7" s="957">
        <v>0</v>
      </c>
      <c r="L7" s="905" t="s">
        <v>276</v>
      </c>
      <c r="M7" s="939">
        <f t="shared" si="0"/>
        <v>1573504</v>
      </c>
      <c r="N7" s="523">
        <f t="shared" ref="N7:N11" si="1">M7</f>
        <v>1573504</v>
      </c>
      <c r="O7" s="3" t="s">
        <v>275</v>
      </c>
    </row>
    <row r="8" spans="1:15" s="3" customFormat="1" hidden="1" x14ac:dyDescent="0.2">
      <c r="B8" s="3" t="s">
        <v>551</v>
      </c>
      <c r="C8" s="957">
        <v>0</v>
      </c>
      <c r="D8" s="957">
        <v>0</v>
      </c>
      <c r="E8" s="957">
        <v>0</v>
      </c>
      <c r="F8" s="957">
        <v>0</v>
      </c>
      <c r="G8" s="957">
        <v>0</v>
      </c>
      <c r="H8" s="957">
        <v>0</v>
      </c>
      <c r="I8" s="957">
        <v>0</v>
      </c>
      <c r="J8" s="957">
        <v>0</v>
      </c>
      <c r="K8" s="957">
        <v>0</v>
      </c>
      <c r="L8" s="905" t="s">
        <v>551</v>
      </c>
      <c r="M8" s="939">
        <f t="shared" si="0"/>
        <v>0</v>
      </c>
      <c r="N8" s="523"/>
    </row>
    <row r="9" spans="1:15" s="3" customFormat="1" hidden="1" x14ac:dyDescent="0.2">
      <c r="B9" s="3" t="s">
        <v>550</v>
      </c>
      <c r="C9" s="957">
        <v>0</v>
      </c>
      <c r="D9" s="957">
        <v>0</v>
      </c>
      <c r="E9" s="957">
        <v>0</v>
      </c>
      <c r="F9" s="957">
        <v>0</v>
      </c>
      <c r="G9" s="957">
        <v>0</v>
      </c>
      <c r="H9" s="957">
        <v>0</v>
      </c>
      <c r="I9" s="957">
        <v>0</v>
      </c>
      <c r="J9" s="957">
        <v>0</v>
      </c>
      <c r="K9" s="957">
        <v>0</v>
      </c>
      <c r="L9" s="905" t="s">
        <v>550</v>
      </c>
      <c r="M9" s="939">
        <f t="shared" si="0"/>
        <v>0</v>
      </c>
      <c r="N9" s="523">
        <f t="shared" si="1"/>
        <v>0</v>
      </c>
      <c r="O9" s="3" t="s">
        <v>275</v>
      </c>
    </row>
    <row r="10" spans="1:15" s="3" customFormat="1" hidden="1" x14ac:dyDescent="0.2">
      <c r="B10" s="3" t="s">
        <v>277</v>
      </c>
      <c r="C10" s="957">
        <v>0</v>
      </c>
      <c r="D10" s="957">
        <v>0</v>
      </c>
      <c r="E10" s="957">
        <v>0</v>
      </c>
      <c r="F10" s="957">
        <v>0</v>
      </c>
      <c r="G10" s="957">
        <v>0</v>
      </c>
      <c r="H10" s="957">
        <v>0</v>
      </c>
      <c r="I10" s="957">
        <v>0</v>
      </c>
      <c r="J10" s="957">
        <v>0</v>
      </c>
      <c r="K10" s="957">
        <v>0</v>
      </c>
      <c r="L10" s="905" t="s">
        <v>277</v>
      </c>
      <c r="M10" s="939">
        <f t="shared" si="0"/>
        <v>0</v>
      </c>
      <c r="N10" s="523">
        <f t="shared" si="1"/>
        <v>0</v>
      </c>
      <c r="O10" s="3" t="s">
        <v>275</v>
      </c>
    </row>
    <row r="11" spans="1:15" s="3" customFormat="1" hidden="1" x14ac:dyDescent="0.2">
      <c r="B11" s="3" t="s">
        <v>680</v>
      </c>
      <c r="C11" s="957">
        <v>0</v>
      </c>
      <c r="D11" s="957">
        <v>0</v>
      </c>
      <c r="E11" s="957">
        <v>0</v>
      </c>
      <c r="F11" s="957">
        <v>0</v>
      </c>
      <c r="G11" s="957">
        <v>0</v>
      </c>
      <c r="H11" s="957">
        <v>0</v>
      </c>
      <c r="I11" s="957">
        <v>0</v>
      </c>
      <c r="J11" s="957">
        <v>0</v>
      </c>
      <c r="K11" s="957">
        <v>0</v>
      </c>
      <c r="L11" s="905" t="s">
        <v>680</v>
      </c>
      <c r="M11" s="939">
        <f t="shared" si="0"/>
        <v>0</v>
      </c>
      <c r="N11" s="523">
        <f t="shared" si="1"/>
        <v>0</v>
      </c>
      <c r="O11" s="3" t="s">
        <v>275</v>
      </c>
    </row>
    <row r="12" spans="1:15" s="3" customFormat="1" x14ac:dyDescent="0.2">
      <c r="B12" s="3" t="s">
        <v>278</v>
      </c>
      <c r="C12" s="957">
        <v>205969</v>
      </c>
      <c r="D12" s="957">
        <v>0</v>
      </c>
      <c r="E12" s="957">
        <v>60000</v>
      </c>
      <c r="F12" s="957">
        <v>0</v>
      </c>
      <c r="G12" s="957">
        <v>0</v>
      </c>
      <c r="H12" s="957">
        <v>0</v>
      </c>
      <c r="I12" s="957">
        <v>0</v>
      </c>
      <c r="J12" s="957">
        <v>0</v>
      </c>
      <c r="K12" s="957">
        <v>0</v>
      </c>
      <c r="L12" s="905" t="s">
        <v>278</v>
      </c>
      <c r="M12" s="939">
        <f t="shared" si="0"/>
        <v>265969</v>
      </c>
      <c r="N12" s="523">
        <f>M12-D12-E12</f>
        <v>205969</v>
      </c>
      <c r="O12" s="3" t="s">
        <v>279</v>
      </c>
    </row>
    <row r="13" spans="1:15" s="3" customFormat="1" x14ac:dyDescent="0.2">
      <c r="B13" s="3" t="s">
        <v>338</v>
      </c>
      <c r="C13" s="957">
        <v>0</v>
      </c>
      <c r="D13" s="957">
        <v>0</v>
      </c>
      <c r="E13" s="957">
        <v>1000</v>
      </c>
      <c r="F13" s="957">
        <v>0</v>
      </c>
      <c r="G13" s="957">
        <v>0</v>
      </c>
      <c r="H13" s="957">
        <v>0</v>
      </c>
      <c r="I13" s="957">
        <v>0</v>
      </c>
      <c r="J13" s="957">
        <v>0</v>
      </c>
      <c r="K13" s="957">
        <v>0</v>
      </c>
      <c r="L13" s="905" t="s">
        <v>338</v>
      </c>
      <c r="M13" s="939">
        <f t="shared" si="0"/>
        <v>1000</v>
      </c>
    </row>
    <row r="14" spans="1:15" s="3" customFormat="1" hidden="1" x14ac:dyDescent="0.2">
      <c r="B14" s="3" t="s">
        <v>281</v>
      </c>
      <c r="C14" s="957">
        <v>0</v>
      </c>
      <c r="D14" s="957">
        <v>0</v>
      </c>
      <c r="E14" s="957">
        <v>0</v>
      </c>
      <c r="F14" s="957">
        <v>0</v>
      </c>
      <c r="G14" s="957">
        <v>0</v>
      </c>
      <c r="H14" s="957">
        <v>0</v>
      </c>
      <c r="I14" s="957">
        <v>0</v>
      </c>
      <c r="J14" s="957">
        <v>0</v>
      </c>
      <c r="K14" s="957">
        <v>0</v>
      </c>
      <c r="L14" s="905" t="s">
        <v>281</v>
      </c>
      <c r="M14" s="939">
        <f t="shared" ref="M14" si="2">SUM(C14:K14)</f>
        <v>0</v>
      </c>
    </row>
    <row r="15" spans="1:15" s="3" customFormat="1" hidden="1" x14ac:dyDescent="0.2">
      <c r="B15" s="3" t="s">
        <v>281</v>
      </c>
      <c r="C15" s="957">
        <v>0</v>
      </c>
      <c r="D15" s="957">
        <v>0</v>
      </c>
      <c r="E15" s="957">
        <v>0</v>
      </c>
      <c r="F15" s="957">
        <v>0</v>
      </c>
      <c r="G15" s="957">
        <v>0</v>
      </c>
      <c r="H15" s="957">
        <v>0</v>
      </c>
      <c r="I15" s="957">
        <v>0</v>
      </c>
      <c r="J15" s="957">
        <v>0</v>
      </c>
      <c r="K15" s="957">
        <v>0</v>
      </c>
      <c r="L15" s="905" t="s">
        <v>281</v>
      </c>
      <c r="M15" s="939">
        <f t="shared" si="0"/>
        <v>0</v>
      </c>
    </row>
    <row r="16" spans="1:15" s="3" customFormat="1" x14ac:dyDescent="0.2">
      <c r="B16" s="3" t="s">
        <v>227</v>
      </c>
      <c r="C16" s="957">
        <v>0</v>
      </c>
      <c r="D16" s="957">
        <v>0</v>
      </c>
      <c r="E16" s="957">
        <v>10000</v>
      </c>
      <c r="F16" s="957">
        <v>0</v>
      </c>
      <c r="G16" s="957">
        <v>0</v>
      </c>
      <c r="H16" s="957">
        <v>0</v>
      </c>
      <c r="I16" s="957">
        <v>0</v>
      </c>
      <c r="J16" s="957">
        <v>0</v>
      </c>
      <c r="K16" s="957">
        <v>0</v>
      </c>
      <c r="L16" s="905" t="s">
        <v>227</v>
      </c>
      <c r="M16" s="939">
        <f t="shared" si="0"/>
        <v>10000</v>
      </c>
    </row>
    <row r="17" spans="1:13" s="3" customFormat="1" hidden="1" x14ac:dyDescent="0.2">
      <c r="B17" s="3" t="s">
        <v>282</v>
      </c>
      <c r="C17" s="957">
        <v>0</v>
      </c>
      <c r="D17" s="957">
        <v>0</v>
      </c>
      <c r="E17" s="957">
        <v>0</v>
      </c>
      <c r="F17" s="957">
        <v>0</v>
      </c>
      <c r="G17" s="957">
        <v>0</v>
      </c>
      <c r="H17" s="957">
        <v>0</v>
      </c>
      <c r="I17" s="957">
        <v>0</v>
      </c>
      <c r="J17" s="957">
        <v>0</v>
      </c>
      <c r="K17" s="957">
        <v>0</v>
      </c>
      <c r="L17" s="905" t="s">
        <v>282</v>
      </c>
      <c r="M17" s="939">
        <f t="shared" si="0"/>
        <v>0</v>
      </c>
    </row>
    <row r="18" spans="1:13" s="3" customFormat="1" hidden="1" x14ac:dyDescent="0.2">
      <c r="B18" s="3" t="s">
        <v>143</v>
      </c>
      <c r="C18" s="957">
        <v>0</v>
      </c>
      <c r="D18" s="957">
        <v>0</v>
      </c>
      <c r="E18" s="957">
        <v>0</v>
      </c>
      <c r="F18" s="957">
        <v>0</v>
      </c>
      <c r="G18" s="957">
        <v>0</v>
      </c>
      <c r="H18" s="957">
        <v>0</v>
      </c>
      <c r="I18" s="957">
        <v>0</v>
      </c>
      <c r="J18" s="957">
        <v>0</v>
      </c>
      <c r="K18" s="957">
        <v>0</v>
      </c>
      <c r="L18" s="905" t="s">
        <v>143</v>
      </c>
      <c r="M18" s="939">
        <f t="shared" si="0"/>
        <v>0</v>
      </c>
    </row>
    <row r="19" spans="1:13" s="3" customFormat="1" hidden="1" x14ac:dyDescent="0.2">
      <c r="B19" s="3" t="s">
        <v>283</v>
      </c>
      <c r="C19" s="957">
        <v>0</v>
      </c>
      <c r="D19" s="957">
        <v>0</v>
      </c>
      <c r="E19" s="957">
        <v>0</v>
      </c>
      <c r="F19" s="957">
        <v>0</v>
      </c>
      <c r="G19" s="957">
        <v>0</v>
      </c>
      <c r="H19" s="957">
        <v>0</v>
      </c>
      <c r="I19" s="957">
        <v>0</v>
      </c>
      <c r="J19" s="957">
        <v>0</v>
      </c>
      <c r="K19" s="957">
        <v>0</v>
      </c>
      <c r="L19" s="905" t="s">
        <v>283</v>
      </c>
      <c r="M19" s="939">
        <f t="shared" si="0"/>
        <v>0</v>
      </c>
    </row>
    <row r="20" spans="1:13" s="3" customFormat="1" x14ac:dyDescent="0.2">
      <c r="B20" s="3" t="s">
        <v>284</v>
      </c>
      <c r="C20" s="957">
        <v>150000</v>
      </c>
      <c r="D20" s="957">
        <v>13000</v>
      </c>
      <c r="E20" s="957">
        <v>0</v>
      </c>
      <c r="F20" s="957">
        <v>1300</v>
      </c>
      <c r="G20" s="957">
        <v>0</v>
      </c>
      <c r="H20" s="957">
        <v>0</v>
      </c>
      <c r="I20" s="957">
        <v>0</v>
      </c>
      <c r="J20" s="957">
        <v>0</v>
      </c>
      <c r="K20" s="957">
        <v>0</v>
      </c>
      <c r="L20" s="905" t="s">
        <v>284</v>
      </c>
      <c r="M20" s="939">
        <f t="shared" si="0"/>
        <v>164300</v>
      </c>
    </row>
    <row r="21" spans="1:13" s="3" customFormat="1" hidden="1" x14ac:dyDescent="0.2">
      <c r="B21" s="3" t="s">
        <v>651</v>
      </c>
      <c r="C21" s="957">
        <v>0</v>
      </c>
      <c r="D21" s="957">
        <v>0</v>
      </c>
      <c r="E21" s="957">
        <v>0</v>
      </c>
      <c r="F21" s="957">
        <v>0</v>
      </c>
      <c r="G21" s="957">
        <v>0</v>
      </c>
      <c r="H21" s="957">
        <v>0</v>
      </c>
      <c r="I21" s="957">
        <v>0</v>
      </c>
      <c r="J21" s="957">
        <v>0</v>
      </c>
      <c r="K21" s="957">
        <v>0</v>
      </c>
      <c r="L21" s="905" t="s">
        <v>651</v>
      </c>
      <c r="M21" s="939">
        <f t="shared" si="0"/>
        <v>0</v>
      </c>
    </row>
    <row r="22" spans="1:13" s="3" customFormat="1" hidden="1" x14ac:dyDescent="0.2">
      <c r="B22" s="3" t="s">
        <v>652</v>
      </c>
      <c r="C22" s="957">
        <v>0</v>
      </c>
      <c r="D22" s="957">
        <v>0</v>
      </c>
      <c r="E22" s="957">
        <v>0</v>
      </c>
      <c r="F22" s="957">
        <v>0</v>
      </c>
      <c r="G22" s="957">
        <v>0</v>
      </c>
      <c r="H22" s="957">
        <v>0</v>
      </c>
      <c r="I22" s="957">
        <v>0</v>
      </c>
      <c r="J22" s="957">
        <v>0</v>
      </c>
      <c r="K22" s="957">
        <v>0</v>
      </c>
      <c r="L22" s="905" t="s">
        <v>652</v>
      </c>
      <c r="M22" s="939">
        <f t="shared" si="0"/>
        <v>0</v>
      </c>
    </row>
    <row r="23" spans="1:13" s="3" customFormat="1" hidden="1" x14ac:dyDescent="0.2">
      <c r="B23" s="3" t="s">
        <v>653</v>
      </c>
      <c r="C23" s="957">
        <v>0</v>
      </c>
      <c r="D23" s="957">
        <v>0</v>
      </c>
      <c r="E23" s="957">
        <v>0</v>
      </c>
      <c r="F23" s="957">
        <v>0</v>
      </c>
      <c r="G23" s="957">
        <v>0</v>
      </c>
      <c r="H23" s="957">
        <v>0</v>
      </c>
      <c r="I23" s="957">
        <v>0</v>
      </c>
      <c r="J23" s="957">
        <v>0</v>
      </c>
      <c r="K23" s="957">
        <v>0</v>
      </c>
      <c r="L23" s="905" t="s">
        <v>653</v>
      </c>
      <c r="M23" s="939">
        <f t="shared" si="0"/>
        <v>0</v>
      </c>
    </row>
    <row r="24" spans="1:13" s="3" customFormat="1" hidden="1" x14ac:dyDescent="0.2">
      <c r="B24" s="3" t="s">
        <v>654</v>
      </c>
      <c r="C24" s="957">
        <v>0</v>
      </c>
      <c r="D24" s="957">
        <v>0</v>
      </c>
      <c r="E24" s="957">
        <v>0</v>
      </c>
      <c r="F24" s="957">
        <v>0</v>
      </c>
      <c r="G24" s="957">
        <v>0</v>
      </c>
      <c r="H24" s="957">
        <v>0</v>
      </c>
      <c r="I24" s="957">
        <v>0</v>
      </c>
      <c r="J24" s="957">
        <v>0</v>
      </c>
      <c r="K24" s="957">
        <v>0</v>
      </c>
      <c r="L24" s="905" t="s">
        <v>654</v>
      </c>
      <c r="M24" s="939">
        <f t="shared" si="0"/>
        <v>0</v>
      </c>
    </row>
    <row r="25" spans="1:13" s="3" customFormat="1" hidden="1" x14ac:dyDescent="0.2">
      <c r="B25" s="3" t="s">
        <v>552</v>
      </c>
      <c r="C25" s="957">
        <v>0</v>
      </c>
      <c r="D25" s="957">
        <v>0</v>
      </c>
      <c r="E25" s="957">
        <v>0</v>
      </c>
      <c r="F25" s="957">
        <v>0</v>
      </c>
      <c r="G25" s="957">
        <v>0</v>
      </c>
      <c r="H25" s="957">
        <v>0</v>
      </c>
      <c r="I25" s="957">
        <v>0</v>
      </c>
      <c r="J25" s="957">
        <v>0</v>
      </c>
      <c r="K25" s="957">
        <v>0</v>
      </c>
      <c r="L25" s="905" t="s">
        <v>552</v>
      </c>
      <c r="M25" s="939">
        <f t="shared" si="0"/>
        <v>0</v>
      </c>
    </row>
    <row r="26" spans="1:13" s="3" customFormat="1" x14ac:dyDescent="0.2">
      <c r="B26" s="3" t="s">
        <v>286</v>
      </c>
      <c r="C26" s="957">
        <v>0</v>
      </c>
      <c r="D26" s="957">
        <v>0</v>
      </c>
      <c r="E26" s="957">
        <v>0</v>
      </c>
      <c r="F26" s="957">
        <v>0</v>
      </c>
      <c r="G26" s="957">
        <v>0</v>
      </c>
      <c r="H26" s="957">
        <v>3000</v>
      </c>
      <c r="I26" s="957">
        <v>0</v>
      </c>
      <c r="J26" s="957">
        <v>0</v>
      </c>
      <c r="K26" s="957">
        <v>0</v>
      </c>
      <c r="L26" s="905" t="s">
        <v>286</v>
      </c>
      <c r="M26" s="939">
        <f t="shared" si="0"/>
        <v>3000</v>
      </c>
    </row>
    <row r="27" spans="1:13" s="3" customFormat="1" x14ac:dyDescent="0.2">
      <c r="A27" s="3">
        <v>1900</v>
      </c>
      <c r="B27" s="3" t="s">
        <v>280</v>
      </c>
      <c r="C27" s="957">
        <v>6000</v>
      </c>
      <c r="D27" s="957">
        <v>0</v>
      </c>
      <c r="E27" s="957">
        <v>0</v>
      </c>
      <c r="F27" s="957">
        <v>13753</v>
      </c>
      <c r="G27" s="957">
        <v>0</v>
      </c>
      <c r="H27" s="957">
        <v>55000</v>
      </c>
      <c r="I27" s="957">
        <v>0</v>
      </c>
      <c r="J27" s="957">
        <v>0</v>
      </c>
      <c r="K27" s="957">
        <v>0</v>
      </c>
      <c r="L27" s="905" t="s">
        <v>280</v>
      </c>
      <c r="M27" s="939">
        <f t="shared" si="0"/>
        <v>74753</v>
      </c>
    </row>
    <row r="28" spans="1:13" s="3" customFormat="1" x14ac:dyDescent="0.2">
      <c r="B28" s="3" t="s">
        <v>288</v>
      </c>
      <c r="C28" s="957">
        <v>500</v>
      </c>
      <c r="D28" s="957">
        <v>0</v>
      </c>
      <c r="E28" s="957">
        <v>0</v>
      </c>
      <c r="F28" s="957">
        <v>0</v>
      </c>
      <c r="G28" s="957">
        <v>0</v>
      </c>
      <c r="H28" s="957">
        <v>0</v>
      </c>
      <c r="I28" s="957">
        <v>0</v>
      </c>
      <c r="J28" s="957">
        <v>0</v>
      </c>
      <c r="K28" s="957">
        <v>0</v>
      </c>
      <c r="L28" s="905" t="s">
        <v>288</v>
      </c>
      <c r="M28" s="939">
        <f t="shared" si="0"/>
        <v>500</v>
      </c>
    </row>
    <row r="29" spans="1:13" s="3" customFormat="1" hidden="1" x14ac:dyDescent="0.2">
      <c r="B29" s="3" t="s">
        <v>287</v>
      </c>
      <c r="C29" s="957">
        <v>0</v>
      </c>
      <c r="D29" s="957">
        <v>0</v>
      </c>
      <c r="E29" s="957">
        <v>0</v>
      </c>
      <c r="F29" s="957">
        <v>0</v>
      </c>
      <c r="G29" s="957">
        <v>0</v>
      </c>
      <c r="H29" s="957">
        <v>0</v>
      </c>
      <c r="I29" s="957">
        <v>0</v>
      </c>
      <c r="J29" s="957">
        <v>0</v>
      </c>
      <c r="K29" s="957">
        <v>0</v>
      </c>
      <c r="L29" s="905" t="s">
        <v>287</v>
      </c>
      <c r="M29" s="939">
        <f t="shared" si="0"/>
        <v>0</v>
      </c>
    </row>
    <row r="30" spans="1:13" s="3" customFormat="1" hidden="1" x14ac:dyDescent="0.2">
      <c r="B30" s="3" t="s">
        <v>598</v>
      </c>
      <c r="C30" s="957">
        <v>0</v>
      </c>
      <c r="D30" s="957">
        <v>0</v>
      </c>
      <c r="E30" s="957">
        <v>0</v>
      </c>
      <c r="F30" s="957">
        <v>0</v>
      </c>
      <c r="G30" s="957">
        <v>0</v>
      </c>
      <c r="H30" s="957">
        <v>0</v>
      </c>
      <c r="I30" s="957">
        <v>0</v>
      </c>
      <c r="J30" s="957">
        <v>0</v>
      </c>
      <c r="K30" s="957">
        <v>0</v>
      </c>
      <c r="L30" s="905" t="s">
        <v>598</v>
      </c>
      <c r="M30" s="939">
        <f t="shared" si="0"/>
        <v>0</v>
      </c>
    </row>
    <row r="31" spans="1:13" s="3" customFormat="1" x14ac:dyDescent="0.2">
      <c r="B31" s="3" t="s">
        <v>289</v>
      </c>
      <c r="C31" s="957">
        <v>0</v>
      </c>
      <c r="D31" s="957">
        <v>0</v>
      </c>
      <c r="E31" s="957">
        <v>5000</v>
      </c>
      <c r="F31" s="957">
        <v>0</v>
      </c>
      <c r="G31" s="957">
        <v>0</v>
      </c>
      <c r="H31" s="957">
        <v>0</v>
      </c>
      <c r="I31" s="957">
        <v>0</v>
      </c>
      <c r="J31" s="957">
        <v>10000</v>
      </c>
      <c r="K31" s="957">
        <v>0</v>
      </c>
      <c r="L31" s="905" t="s">
        <v>289</v>
      </c>
      <c r="M31" s="939">
        <f t="shared" si="0"/>
        <v>15000</v>
      </c>
    </row>
    <row r="32" spans="1:13" s="3" customFormat="1" hidden="1" x14ac:dyDescent="0.2">
      <c r="B32" s="3" t="s">
        <v>681</v>
      </c>
      <c r="C32" s="957">
        <v>0</v>
      </c>
      <c r="D32" s="957">
        <v>0</v>
      </c>
      <c r="E32" s="957">
        <v>0</v>
      </c>
      <c r="F32" s="957">
        <v>0</v>
      </c>
      <c r="G32" s="957">
        <v>0</v>
      </c>
      <c r="H32" s="957">
        <v>0</v>
      </c>
      <c r="I32" s="957">
        <v>0</v>
      </c>
      <c r="J32" s="957">
        <v>0</v>
      </c>
      <c r="K32" s="957">
        <v>0</v>
      </c>
      <c r="L32" s="905" t="s">
        <v>681</v>
      </c>
      <c r="M32" s="939">
        <f t="shared" si="0"/>
        <v>0</v>
      </c>
    </row>
    <row r="33" spans="2:14" s="3" customFormat="1" hidden="1" x14ac:dyDescent="0.2">
      <c r="B33" s="3" t="s">
        <v>656</v>
      </c>
      <c r="C33" s="957">
        <v>0</v>
      </c>
      <c r="D33" s="957">
        <v>0</v>
      </c>
      <c r="E33" s="957">
        <v>0</v>
      </c>
      <c r="F33" s="957">
        <v>0</v>
      </c>
      <c r="G33" s="957">
        <v>0</v>
      </c>
      <c r="H33" s="957">
        <v>0</v>
      </c>
      <c r="I33" s="957">
        <v>0</v>
      </c>
      <c r="J33" s="957">
        <v>0</v>
      </c>
      <c r="K33" s="957">
        <v>0</v>
      </c>
      <c r="L33" s="905" t="s">
        <v>656</v>
      </c>
      <c r="M33" s="939">
        <f t="shared" si="0"/>
        <v>0</v>
      </c>
    </row>
    <row r="34" spans="2:14" hidden="1" x14ac:dyDescent="0.2">
      <c r="B34" s="3" t="s">
        <v>290</v>
      </c>
      <c r="C34" s="957">
        <v>0</v>
      </c>
      <c r="D34" s="957">
        <v>0</v>
      </c>
      <c r="E34" s="957">
        <v>0</v>
      </c>
      <c r="F34" s="957">
        <v>0</v>
      </c>
      <c r="G34" s="957">
        <v>0</v>
      </c>
      <c r="H34" s="957">
        <v>0</v>
      </c>
      <c r="I34" s="957">
        <v>0</v>
      </c>
      <c r="J34" s="957">
        <v>0</v>
      </c>
      <c r="K34" s="957">
        <v>0</v>
      </c>
      <c r="L34" s="908" t="s">
        <v>290</v>
      </c>
      <c r="M34" s="939">
        <f t="shared" si="0"/>
        <v>0</v>
      </c>
    </row>
    <row r="35" spans="2:14" hidden="1" x14ac:dyDescent="0.2">
      <c r="B35" s="3"/>
      <c r="C35" s="916"/>
      <c r="D35" s="916"/>
      <c r="E35" s="916"/>
      <c r="F35" s="916"/>
      <c r="G35" s="916"/>
      <c r="H35" s="916"/>
      <c r="I35" s="916"/>
      <c r="J35" s="916"/>
      <c r="K35" s="916"/>
      <c r="L35" s="908"/>
      <c r="M35" s="908"/>
    </row>
    <row r="36" spans="2:14" s="2" customFormat="1" x14ac:dyDescent="0.2">
      <c r="B36" s="39" t="s">
        <v>124</v>
      </c>
      <c r="C36" s="931">
        <f>SUM(C4:C35)</f>
        <v>7070957</v>
      </c>
      <c r="D36" s="931">
        <f t="shared" ref="D36:K36" si="3">SUM(D4:D35)</f>
        <v>1104670</v>
      </c>
      <c r="E36" s="931">
        <f t="shared" si="3"/>
        <v>76000</v>
      </c>
      <c r="F36" s="931">
        <f t="shared" si="3"/>
        <v>15053</v>
      </c>
      <c r="G36" s="931">
        <f t="shared" si="3"/>
        <v>0</v>
      </c>
      <c r="H36" s="931">
        <f t="shared" si="3"/>
        <v>58000</v>
      </c>
      <c r="I36" s="931">
        <f t="shared" si="3"/>
        <v>0</v>
      </c>
      <c r="J36" s="931">
        <f t="shared" si="3"/>
        <v>10000</v>
      </c>
      <c r="K36" s="931">
        <f t="shared" si="3"/>
        <v>0</v>
      </c>
      <c r="L36" s="930">
        <f>SUM(C36:K36)</f>
        <v>8334680</v>
      </c>
      <c r="M36" s="903"/>
      <c r="N36" s="20">
        <f>SUM(N5:N35)</f>
        <v>6914457</v>
      </c>
    </row>
    <row r="37" spans="2:14" x14ac:dyDescent="0.2">
      <c r="B37" s="16"/>
      <c r="C37" s="916"/>
      <c r="D37" s="916"/>
      <c r="E37" s="916"/>
      <c r="F37" s="916"/>
      <c r="G37" s="916"/>
      <c r="H37" s="916"/>
      <c r="I37" s="916"/>
      <c r="J37" s="916"/>
      <c r="K37" s="916"/>
      <c r="L37" s="922"/>
      <c r="M37" s="908"/>
    </row>
    <row r="38" spans="2:14" hidden="1" x14ac:dyDescent="0.2">
      <c r="B38" s="37" t="s">
        <v>291</v>
      </c>
      <c r="C38" s="913">
        <v>0</v>
      </c>
      <c r="D38" s="913">
        <v>0</v>
      </c>
      <c r="E38" s="913">
        <v>0</v>
      </c>
      <c r="F38" s="913">
        <v>0</v>
      </c>
      <c r="G38" s="913">
        <v>0</v>
      </c>
      <c r="H38" s="913">
        <v>0</v>
      </c>
      <c r="I38" s="913">
        <v>0</v>
      </c>
      <c r="J38" s="913">
        <v>0</v>
      </c>
      <c r="K38" s="913">
        <v>0</v>
      </c>
      <c r="L38" s="919" t="str">
        <f t="shared" ref="L38:L47" si="4">B38</f>
        <v>Distributive School Fund (DSA)</v>
      </c>
      <c r="M38" s="919">
        <f t="shared" ref="M38:M47" si="5">SUM(C38:K38)</f>
        <v>0</v>
      </c>
    </row>
    <row r="39" spans="2:14" hidden="1" x14ac:dyDescent="0.2">
      <c r="B39" s="37" t="s">
        <v>292</v>
      </c>
      <c r="C39" s="913">
        <v>0</v>
      </c>
      <c r="D39" s="913">
        <v>0</v>
      </c>
      <c r="E39" s="913">
        <v>0</v>
      </c>
      <c r="F39" s="913">
        <v>0</v>
      </c>
      <c r="G39" s="913">
        <v>0</v>
      </c>
      <c r="H39" s="913">
        <v>0</v>
      </c>
      <c r="I39" s="913">
        <v>0</v>
      </c>
      <c r="J39" s="913">
        <v>0</v>
      </c>
      <c r="K39" s="913">
        <v>0</v>
      </c>
      <c r="L39" s="919" t="str">
        <f t="shared" si="4"/>
        <v>DSA Charter Reduction-Outside Revs</v>
      </c>
      <c r="M39" s="919">
        <f t="shared" si="5"/>
        <v>0</v>
      </c>
    </row>
    <row r="40" spans="2:14" x14ac:dyDescent="0.2">
      <c r="B40" s="37" t="s">
        <v>293</v>
      </c>
      <c r="C40" s="913">
        <v>0</v>
      </c>
      <c r="D40" s="913">
        <v>0</v>
      </c>
      <c r="E40" s="913">
        <v>0</v>
      </c>
      <c r="F40" s="913">
        <v>0</v>
      </c>
      <c r="G40" s="913">
        <v>0</v>
      </c>
      <c r="H40" s="913">
        <v>0</v>
      </c>
      <c r="I40" s="913">
        <v>457382</v>
      </c>
      <c r="J40" s="913">
        <v>0</v>
      </c>
      <c r="K40" s="913">
        <v>0</v>
      </c>
      <c r="L40" s="919" t="str">
        <f t="shared" si="4"/>
        <v>Special Education - DSA Funding</v>
      </c>
      <c r="M40" s="919">
        <f t="shared" si="5"/>
        <v>457382</v>
      </c>
    </row>
    <row r="41" spans="2:14" hidden="1" x14ac:dyDescent="0.2">
      <c r="B41" s="37" t="s">
        <v>475</v>
      </c>
      <c r="C41" s="913">
        <v>0</v>
      </c>
      <c r="D41" s="913">
        <v>0</v>
      </c>
      <c r="E41" s="913">
        <v>0</v>
      </c>
      <c r="F41" s="913">
        <v>0</v>
      </c>
      <c r="G41" s="913">
        <v>0</v>
      </c>
      <c r="H41" s="913">
        <v>0</v>
      </c>
      <c r="I41" s="913">
        <v>0</v>
      </c>
      <c r="J41" s="913">
        <v>0</v>
      </c>
      <c r="K41" s="913">
        <v>0</v>
      </c>
      <c r="L41" s="919" t="str">
        <f t="shared" si="4"/>
        <v>Counseling - DSA Funding</v>
      </c>
      <c r="M41" s="919">
        <f t="shared" si="5"/>
        <v>0</v>
      </c>
    </row>
    <row r="42" spans="2:14" hidden="1" x14ac:dyDescent="0.2">
      <c r="B42" s="37" t="s">
        <v>294</v>
      </c>
      <c r="C42" s="913">
        <v>0</v>
      </c>
      <c r="D42" s="913">
        <v>0</v>
      </c>
      <c r="E42" s="913">
        <v>0</v>
      </c>
      <c r="F42" s="913">
        <v>0</v>
      </c>
      <c r="G42" s="913">
        <v>0</v>
      </c>
      <c r="H42" s="913">
        <v>0</v>
      </c>
      <c r="I42" s="913">
        <v>0</v>
      </c>
      <c r="J42" s="913">
        <v>0</v>
      </c>
      <c r="K42" s="913">
        <v>0</v>
      </c>
      <c r="L42" s="919" t="str">
        <f t="shared" si="4"/>
        <v>State Food Aid</v>
      </c>
      <c r="M42" s="919">
        <f t="shared" si="5"/>
        <v>0</v>
      </c>
    </row>
    <row r="43" spans="2:14" x14ac:dyDescent="0.2">
      <c r="B43" s="37" t="s">
        <v>295</v>
      </c>
      <c r="C43" s="913">
        <v>0</v>
      </c>
      <c r="D43" s="913">
        <v>0</v>
      </c>
      <c r="E43" s="913">
        <v>0</v>
      </c>
      <c r="F43" s="913">
        <v>0</v>
      </c>
      <c r="G43" s="913">
        <v>0</v>
      </c>
      <c r="H43" s="958">
        <f>836474-1000</f>
        <v>835474</v>
      </c>
      <c r="I43" s="913">
        <v>0</v>
      </c>
      <c r="J43" s="913">
        <v>0</v>
      </c>
      <c r="K43" s="913">
        <v>0</v>
      </c>
      <c r="L43" s="919" t="str">
        <f t="shared" si="4"/>
        <v>Restricted Funding/Grants-in-aid rev</v>
      </c>
      <c r="M43" s="919">
        <f t="shared" si="5"/>
        <v>835474</v>
      </c>
    </row>
    <row r="44" spans="2:14" hidden="1" x14ac:dyDescent="0.2">
      <c r="B44" s="37" t="s">
        <v>682</v>
      </c>
      <c r="C44" s="913">
        <v>0</v>
      </c>
      <c r="D44" s="913">
        <v>0</v>
      </c>
      <c r="E44" s="913">
        <v>0</v>
      </c>
      <c r="F44" s="913">
        <v>0</v>
      </c>
      <c r="G44" s="913">
        <v>0</v>
      </c>
      <c r="H44" s="913">
        <v>0</v>
      </c>
      <c r="I44" s="913">
        <v>0</v>
      </c>
      <c r="J44" s="913">
        <v>0</v>
      </c>
      <c r="K44" s="913">
        <v>0</v>
      </c>
      <c r="L44" s="919" t="str">
        <f t="shared" si="4"/>
        <v xml:space="preserve">Adult High School Diploma </v>
      </c>
      <c r="M44" s="919">
        <f t="shared" si="5"/>
        <v>0</v>
      </c>
    </row>
    <row r="45" spans="2:14" hidden="1" x14ac:dyDescent="0.2">
      <c r="B45" s="37" t="s">
        <v>553</v>
      </c>
      <c r="C45" s="913">
        <v>0</v>
      </c>
      <c r="D45" s="913">
        <v>0</v>
      </c>
      <c r="E45" s="913">
        <v>0</v>
      </c>
      <c r="F45" s="913">
        <v>0</v>
      </c>
      <c r="G45" s="913">
        <v>0</v>
      </c>
      <c r="H45" s="913">
        <v>0</v>
      </c>
      <c r="I45" s="913">
        <v>0</v>
      </c>
      <c r="J45" s="913">
        <v>0</v>
      </c>
      <c r="K45" s="913">
        <v>0</v>
      </c>
      <c r="L45" s="919" t="str">
        <f t="shared" si="4"/>
        <v>SB 178 NV Education Fund Plan</v>
      </c>
      <c r="M45" s="919">
        <f t="shared" si="5"/>
        <v>0</v>
      </c>
    </row>
    <row r="46" spans="2:14" hidden="1" x14ac:dyDescent="0.2">
      <c r="B46" s="37" t="s">
        <v>191</v>
      </c>
      <c r="C46" s="913">
        <v>0</v>
      </c>
      <c r="D46" s="913">
        <v>0</v>
      </c>
      <c r="E46" s="913">
        <v>0</v>
      </c>
      <c r="F46" s="913">
        <v>0</v>
      </c>
      <c r="G46" s="913">
        <v>0</v>
      </c>
      <c r="H46" s="913">
        <v>0</v>
      </c>
      <c r="I46" s="913">
        <v>0</v>
      </c>
      <c r="J46" s="913">
        <v>0</v>
      </c>
      <c r="K46" s="913">
        <v>0</v>
      </c>
      <c r="L46" s="919" t="str">
        <f t="shared" si="4"/>
        <v>Class Size Reduction</v>
      </c>
      <c r="M46" s="919">
        <f t="shared" si="5"/>
        <v>0</v>
      </c>
    </row>
    <row r="47" spans="2:14" x14ac:dyDescent="0.2">
      <c r="B47" s="37" t="s">
        <v>386</v>
      </c>
      <c r="C47" s="913">
        <v>0</v>
      </c>
      <c r="D47" s="913">
        <v>0</v>
      </c>
      <c r="E47" s="913">
        <v>0</v>
      </c>
      <c r="F47" s="913">
        <v>0</v>
      </c>
      <c r="G47" s="913">
        <v>0</v>
      </c>
      <c r="H47" s="913">
        <v>1000</v>
      </c>
      <c r="I47" s="913">
        <v>0</v>
      </c>
      <c r="J47" s="913">
        <v>0</v>
      </c>
      <c r="K47" s="913">
        <v>0</v>
      </c>
      <c r="L47" s="919" t="str">
        <f t="shared" si="4"/>
        <v>For/on behalf of School District</v>
      </c>
      <c r="M47" s="919">
        <f t="shared" si="5"/>
        <v>1000</v>
      </c>
    </row>
    <row r="48" spans="2:14" hidden="1" x14ac:dyDescent="0.2">
      <c r="C48" s="916"/>
      <c r="D48" s="916"/>
      <c r="E48" s="916"/>
      <c r="F48" s="916"/>
      <c r="G48" s="916"/>
      <c r="H48" s="916"/>
      <c r="I48" s="916"/>
      <c r="J48" s="916"/>
      <c r="K48" s="916"/>
      <c r="L48" s="922"/>
      <c r="M48" s="908"/>
    </row>
    <row r="49" spans="1:16" s="2" customFormat="1" x14ac:dyDescent="0.2">
      <c r="B49" s="39" t="s">
        <v>125</v>
      </c>
      <c r="C49" s="931">
        <f>SUM(C37:C48)</f>
        <v>0</v>
      </c>
      <c r="D49" s="931">
        <f t="shared" ref="D49:K49" si="6">SUM(D37:D48)</f>
        <v>0</v>
      </c>
      <c r="E49" s="931">
        <f t="shared" si="6"/>
        <v>0</v>
      </c>
      <c r="F49" s="931">
        <f t="shared" si="6"/>
        <v>0</v>
      </c>
      <c r="G49" s="931">
        <f t="shared" si="6"/>
        <v>0</v>
      </c>
      <c r="H49" s="931">
        <f t="shared" si="6"/>
        <v>836474</v>
      </c>
      <c r="I49" s="931">
        <f t="shared" si="6"/>
        <v>457382</v>
      </c>
      <c r="J49" s="931">
        <f t="shared" si="6"/>
        <v>0</v>
      </c>
      <c r="K49" s="931">
        <f t="shared" si="6"/>
        <v>0</v>
      </c>
      <c r="L49" s="930">
        <f>SUM(C49:K49)</f>
        <v>1293856</v>
      </c>
      <c r="M49" s="903"/>
    </row>
    <row r="50" spans="1:16" x14ac:dyDescent="0.2">
      <c r="B50" s="16"/>
      <c r="C50" s="916"/>
      <c r="D50" s="916"/>
      <c r="E50" s="916"/>
      <c r="F50" s="916"/>
      <c r="G50" s="916"/>
      <c r="H50" s="916"/>
      <c r="I50" s="916"/>
      <c r="J50" s="916"/>
      <c r="K50" s="916"/>
      <c r="L50" s="922"/>
      <c r="M50" s="908"/>
    </row>
    <row r="51" spans="1:16" s="37" customFormat="1" x14ac:dyDescent="0.2">
      <c r="A51" s="45"/>
      <c r="B51" s="37" t="s">
        <v>658</v>
      </c>
      <c r="C51" s="920">
        <v>0</v>
      </c>
      <c r="D51" s="920">
        <v>0</v>
      </c>
      <c r="E51" s="920">
        <v>0</v>
      </c>
      <c r="F51" s="920">
        <v>0</v>
      </c>
      <c r="G51" s="920">
        <v>0</v>
      </c>
      <c r="H51" s="920">
        <v>400</v>
      </c>
      <c r="I51" s="920">
        <v>0</v>
      </c>
      <c r="J51" s="920">
        <v>0</v>
      </c>
      <c r="K51" s="920">
        <v>0</v>
      </c>
      <c r="L51" s="921" t="str">
        <f t="shared" ref="L51:L61" si="7">B51</f>
        <v>Federal Lunch Reimbursement</v>
      </c>
      <c r="M51" s="921">
        <f t="shared" ref="M51:M61" si="8">SUM(C51:K51)</f>
        <v>400</v>
      </c>
    </row>
    <row r="52" spans="1:16" s="37" customFormat="1" hidden="1" x14ac:dyDescent="0.2">
      <c r="A52" s="45"/>
      <c r="B52" s="37" t="s">
        <v>659</v>
      </c>
      <c r="C52" s="920">
        <v>0</v>
      </c>
      <c r="D52" s="920">
        <v>0</v>
      </c>
      <c r="E52" s="920">
        <v>0</v>
      </c>
      <c r="F52" s="920">
        <v>0</v>
      </c>
      <c r="G52" s="920">
        <v>0</v>
      </c>
      <c r="H52" s="920">
        <v>0</v>
      </c>
      <c r="I52" s="920">
        <v>0</v>
      </c>
      <c r="J52" s="920">
        <v>0</v>
      </c>
      <c r="K52" s="920">
        <v>0</v>
      </c>
      <c r="L52" s="921" t="str">
        <f t="shared" si="7"/>
        <v>Forest Reserve</v>
      </c>
      <c r="M52" s="921">
        <f t="shared" si="8"/>
        <v>0</v>
      </c>
    </row>
    <row r="53" spans="1:16" s="37" customFormat="1" hidden="1" x14ac:dyDescent="0.2">
      <c r="A53" s="45"/>
      <c r="B53" s="37" t="s">
        <v>660</v>
      </c>
      <c r="C53" s="920">
        <v>0</v>
      </c>
      <c r="D53" s="920">
        <v>0</v>
      </c>
      <c r="E53" s="920">
        <v>0</v>
      </c>
      <c r="F53" s="920">
        <v>0</v>
      </c>
      <c r="G53" s="920">
        <v>0</v>
      </c>
      <c r="H53" s="920">
        <v>0</v>
      </c>
      <c r="I53" s="920">
        <v>0</v>
      </c>
      <c r="J53" s="920">
        <v>0</v>
      </c>
      <c r="K53" s="920">
        <v>0</v>
      </c>
      <c r="L53" s="921" t="str">
        <f t="shared" si="7"/>
        <v>Erate Funds</v>
      </c>
      <c r="M53" s="921">
        <f t="shared" si="8"/>
        <v>0</v>
      </c>
    </row>
    <row r="54" spans="1:16" s="37" customFormat="1" hidden="1" x14ac:dyDescent="0.2">
      <c r="A54" s="45"/>
      <c r="B54" s="37" t="s">
        <v>683</v>
      </c>
      <c r="C54" s="920">
        <v>0</v>
      </c>
      <c r="D54" s="920">
        <v>0</v>
      </c>
      <c r="E54" s="920">
        <v>0</v>
      </c>
      <c r="F54" s="920">
        <v>0</v>
      </c>
      <c r="G54" s="920">
        <v>0</v>
      </c>
      <c r="H54" s="920">
        <v>0</v>
      </c>
      <c r="I54" s="920">
        <v>0</v>
      </c>
      <c r="J54" s="920">
        <v>0</v>
      </c>
      <c r="K54" s="920">
        <v>0</v>
      </c>
      <c r="L54" s="921" t="str">
        <f t="shared" si="7"/>
        <v>Medicaid Reimbursement</v>
      </c>
      <c r="M54" s="921">
        <f t="shared" si="8"/>
        <v>0</v>
      </c>
    </row>
    <row r="55" spans="1:16" s="37" customFormat="1" hidden="1" x14ac:dyDescent="0.2">
      <c r="A55" s="45"/>
      <c r="B55" s="37" t="s">
        <v>390</v>
      </c>
      <c r="C55" s="920">
        <v>0</v>
      </c>
      <c r="D55" s="920">
        <v>0</v>
      </c>
      <c r="E55" s="920">
        <v>0</v>
      </c>
      <c r="F55" s="920">
        <v>0</v>
      </c>
      <c r="G55" s="920">
        <v>0</v>
      </c>
      <c r="H55" s="920">
        <v>0</v>
      </c>
      <c r="I55" s="920">
        <v>0</v>
      </c>
      <c r="J55" s="920">
        <v>0</v>
      </c>
      <c r="K55" s="920">
        <v>0</v>
      </c>
      <c r="L55" s="921" t="str">
        <f t="shared" si="7"/>
        <v>Unrestricted - Direct Fed Gov't</v>
      </c>
      <c r="M55" s="921">
        <f t="shared" si="8"/>
        <v>0</v>
      </c>
    </row>
    <row r="56" spans="1:16" s="37" customFormat="1" x14ac:dyDescent="0.2">
      <c r="A56" s="45"/>
      <c r="B56" s="37" t="s">
        <v>617</v>
      </c>
      <c r="C56" s="920">
        <v>0</v>
      </c>
      <c r="D56" s="920">
        <v>0</v>
      </c>
      <c r="E56" s="920">
        <v>0</v>
      </c>
      <c r="F56" s="920">
        <v>0</v>
      </c>
      <c r="G56" s="920">
        <v>342835</v>
      </c>
      <c r="H56" s="920">
        <v>0</v>
      </c>
      <c r="I56" s="920">
        <v>0</v>
      </c>
      <c r="J56" s="920">
        <v>0</v>
      </c>
      <c r="K56" s="920">
        <v>0</v>
      </c>
      <c r="L56" s="921" t="str">
        <f t="shared" si="7"/>
        <v>Unrestricted - State Agency</v>
      </c>
      <c r="M56" s="921">
        <f t="shared" si="8"/>
        <v>342835</v>
      </c>
    </row>
    <row r="57" spans="1:16" s="37" customFormat="1" hidden="1" x14ac:dyDescent="0.2">
      <c r="A57" s="45"/>
      <c r="B57" s="37" t="s">
        <v>299</v>
      </c>
      <c r="C57" s="920">
        <v>0</v>
      </c>
      <c r="D57" s="920">
        <v>0</v>
      </c>
      <c r="E57" s="920">
        <v>0</v>
      </c>
      <c r="F57" s="920">
        <v>0</v>
      </c>
      <c r="G57" s="920">
        <v>0</v>
      </c>
      <c r="H57" s="920">
        <v>0</v>
      </c>
      <c r="I57" s="920">
        <v>0</v>
      </c>
      <c r="J57" s="920">
        <v>0</v>
      </c>
      <c r="K57" s="920">
        <v>0</v>
      </c>
      <c r="L57" s="921" t="str">
        <f t="shared" si="7"/>
        <v>Restricted - Direct</v>
      </c>
      <c r="M57" s="921">
        <f t="shared" si="8"/>
        <v>0</v>
      </c>
    </row>
    <row r="58" spans="1:16" s="37" customFormat="1" x14ac:dyDescent="0.2">
      <c r="A58" s="45"/>
      <c r="B58" s="37" t="s">
        <v>298</v>
      </c>
      <c r="C58" s="920">
        <v>0</v>
      </c>
      <c r="D58" s="920">
        <v>0</v>
      </c>
      <c r="E58" s="920">
        <v>0</v>
      </c>
      <c r="F58" s="920">
        <v>0</v>
      </c>
      <c r="G58" s="920">
        <v>253966</v>
      </c>
      <c r="H58" s="920">
        <v>7000</v>
      </c>
      <c r="I58" s="920">
        <v>0</v>
      </c>
      <c r="J58" s="920">
        <v>0</v>
      </c>
      <c r="K58" s="920">
        <v>0</v>
      </c>
      <c r="L58" s="921" t="str">
        <f t="shared" si="7"/>
        <v>Restricted - State Agency</v>
      </c>
      <c r="M58" s="921">
        <f t="shared" si="8"/>
        <v>260966</v>
      </c>
    </row>
    <row r="59" spans="1:16" s="37" customFormat="1" hidden="1" x14ac:dyDescent="0.2">
      <c r="A59" s="45"/>
      <c r="B59" s="37" t="s">
        <v>476</v>
      </c>
      <c r="C59" s="920">
        <v>0</v>
      </c>
      <c r="D59" s="920">
        <v>0</v>
      </c>
      <c r="E59" s="920">
        <v>0</v>
      </c>
      <c r="F59" s="920">
        <v>0</v>
      </c>
      <c r="G59" s="920">
        <v>0</v>
      </c>
      <c r="H59" s="920">
        <v>0</v>
      </c>
      <c r="I59" s="920">
        <v>0</v>
      </c>
      <c r="J59" s="920">
        <v>0</v>
      </c>
      <c r="K59" s="920">
        <v>0</v>
      </c>
      <c r="L59" s="921" t="str">
        <f t="shared" si="7"/>
        <v>Restricted - Other Agency</v>
      </c>
      <c r="M59" s="921">
        <f t="shared" si="8"/>
        <v>0</v>
      </c>
    </row>
    <row r="60" spans="1:16" s="37" customFormat="1" hidden="1" x14ac:dyDescent="0.2">
      <c r="A60" s="45"/>
      <c r="B60" s="37" t="s">
        <v>398</v>
      </c>
      <c r="C60" s="913">
        <v>0</v>
      </c>
      <c r="D60" s="913">
        <v>0</v>
      </c>
      <c r="E60" s="913">
        <v>0</v>
      </c>
      <c r="F60" s="913">
        <v>0</v>
      </c>
      <c r="G60" s="913">
        <v>0</v>
      </c>
      <c r="H60" s="913">
        <v>0</v>
      </c>
      <c r="I60" s="913">
        <v>0</v>
      </c>
      <c r="J60" s="913">
        <v>0</v>
      </c>
      <c r="K60" s="913">
        <v>0</v>
      </c>
      <c r="L60" s="921" t="str">
        <f t="shared" si="7"/>
        <v>Revenue in Lieu of Taxes</v>
      </c>
      <c r="M60" s="921">
        <f t="shared" si="8"/>
        <v>0</v>
      </c>
    </row>
    <row r="61" spans="1:16" hidden="1" x14ac:dyDescent="0.2">
      <c r="B61" s="37" t="s">
        <v>554</v>
      </c>
      <c r="C61" s="913">
        <v>0</v>
      </c>
      <c r="D61" s="913">
        <v>0</v>
      </c>
      <c r="E61" s="913">
        <v>0</v>
      </c>
      <c r="F61" s="913">
        <v>0</v>
      </c>
      <c r="G61" s="913">
        <v>0</v>
      </c>
      <c r="H61" s="913">
        <v>0</v>
      </c>
      <c r="I61" s="913">
        <v>0</v>
      </c>
      <c r="J61" s="913">
        <v>0</v>
      </c>
      <c r="K61" s="913">
        <v>0</v>
      </c>
      <c r="L61" s="919" t="str">
        <f t="shared" si="7"/>
        <v>Revenue for/on behalf of School District</v>
      </c>
      <c r="M61" s="919">
        <f t="shared" si="8"/>
        <v>0</v>
      </c>
    </row>
    <row r="62" spans="1:16" hidden="1" x14ac:dyDescent="0.2">
      <c r="B62" s="37"/>
      <c r="C62" s="913"/>
      <c r="D62" s="913"/>
      <c r="E62" s="913"/>
      <c r="F62" s="913"/>
      <c r="G62" s="913"/>
      <c r="H62" s="913"/>
      <c r="I62" s="913"/>
      <c r="J62" s="913"/>
      <c r="K62" s="913"/>
      <c r="L62" s="913"/>
      <c r="M62" s="913"/>
      <c r="N62" s="43"/>
      <c r="O62" s="44"/>
      <c r="P62" s="44"/>
    </row>
    <row r="63" spans="1:16" s="2" customFormat="1" x14ac:dyDescent="0.2">
      <c r="B63" s="39" t="s">
        <v>126</v>
      </c>
      <c r="C63" s="931">
        <f>SUM(C50:C62)</f>
        <v>0</v>
      </c>
      <c r="D63" s="931">
        <f t="shared" ref="D63:K63" si="9">SUM(D50:D62)</f>
        <v>0</v>
      </c>
      <c r="E63" s="931">
        <f t="shared" si="9"/>
        <v>0</v>
      </c>
      <c r="F63" s="931">
        <f t="shared" si="9"/>
        <v>0</v>
      </c>
      <c r="G63" s="931">
        <f t="shared" si="9"/>
        <v>596801</v>
      </c>
      <c r="H63" s="931">
        <f t="shared" si="9"/>
        <v>7400</v>
      </c>
      <c r="I63" s="931">
        <f t="shared" si="9"/>
        <v>0</v>
      </c>
      <c r="J63" s="931">
        <f t="shared" si="9"/>
        <v>0</v>
      </c>
      <c r="K63" s="931">
        <f t="shared" si="9"/>
        <v>0</v>
      </c>
      <c r="L63" s="930">
        <f>SUM(C63:K63)</f>
        <v>604201</v>
      </c>
      <c r="M63" s="903"/>
    </row>
    <row r="64" spans="1:16" x14ac:dyDescent="0.2">
      <c r="B64" s="16"/>
      <c r="C64" s="916"/>
      <c r="D64" s="916"/>
      <c r="E64" s="916"/>
      <c r="F64" s="916"/>
      <c r="G64" s="916"/>
      <c r="H64" s="916"/>
      <c r="I64" s="916"/>
      <c r="J64" s="916"/>
      <c r="K64" s="916"/>
      <c r="L64" s="922"/>
      <c r="M64" s="908"/>
    </row>
    <row r="65" spans="1:13" hidden="1" x14ac:dyDescent="0.2">
      <c r="B65" s="16" t="s">
        <v>300</v>
      </c>
      <c r="C65" s="916">
        <v>0</v>
      </c>
      <c r="D65" s="916">
        <v>0</v>
      </c>
      <c r="E65" s="916">
        <v>0</v>
      </c>
      <c r="F65" s="916">
        <v>0</v>
      </c>
      <c r="G65" s="916">
        <v>0</v>
      </c>
      <c r="H65" s="916">
        <v>0</v>
      </c>
      <c r="I65" s="916">
        <v>0</v>
      </c>
      <c r="J65" s="916">
        <v>0</v>
      </c>
      <c r="K65" s="916">
        <v>0</v>
      </c>
      <c r="L65" s="908" t="s">
        <v>300</v>
      </c>
      <c r="M65" s="916">
        <f>SUM(C65:K65)</f>
        <v>0</v>
      </c>
    </row>
    <row r="66" spans="1:13" hidden="1" x14ac:dyDescent="0.2">
      <c r="B66" s="16" t="s">
        <v>408</v>
      </c>
      <c r="C66" s="916">
        <v>0</v>
      </c>
      <c r="D66" s="916">
        <v>0</v>
      </c>
      <c r="E66" s="916">
        <v>0</v>
      </c>
      <c r="F66" s="916">
        <v>0</v>
      </c>
      <c r="G66" s="916">
        <v>0</v>
      </c>
      <c r="H66" s="916">
        <v>0</v>
      </c>
      <c r="I66" s="916">
        <v>0</v>
      </c>
      <c r="J66" s="916">
        <v>0</v>
      </c>
      <c r="K66" s="916">
        <v>0</v>
      </c>
      <c r="L66" s="908" t="s">
        <v>408</v>
      </c>
      <c r="M66" s="916">
        <f>SUM(C66:K66)</f>
        <v>0</v>
      </c>
    </row>
    <row r="67" spans="1:13" hidden="1" x14ac:dyDescent="0.2">
      <c r="B67" s="16" t="s">
        <v>301</v>
      </c>
      <c r="C67" s="916">
        <v>0</v>
      </c>
      <c r="D67" s="916">
        <v>0</v>
      </c>
      <c r="E67" s="916">
        <v>0</v>
      </c>
      <c r="F67" s="916">
        <v>0</v>
      </c>
      <c r="G67" s="916">
        <v>0</v>
      </c>
      <c r="H67" s="916">
        <v>20013</v>
      </c>
      <c r="I67" s="916">
        <v>194759</v>
      </c>
      <c r="J67" s="916">
        <v>0</v>
      </c>
      <c r="K67" s="916">
        <v>-214772</v>
      </c>
      <c r="L67" s="908" t="s">
        <v>301</v>
      </c>
      <c r="M67" s="916">
        <f>SUM(C67:K67)</f>
        <v>0</v>
      </c>
    </row>
    <row r="68" spans="1:13" x14ac:dyDescent="0.2">
      <c r="B68" s="550" t="s">
        <v>746</v>
      </c>
      <c r="C68" s="916">
        <v>0</v>
      </c>
      <c r="D68" s="916">
        <v>0</v>
      </c>
      <c r="E68" s="916">
        <v>11785</v>
      </c>
      <c r="F68" s="916">
        <v>0</v>
      </c>
      <c r="G68" s="916">
        <v>0</v>
      </c>
      <c r="H68" s="916">
        <v>0</v>
      </c>
      <c r="I68" s="916">
        <v>0</v>
      </c>
      <c r="J68" s="916">
        <v>0</v>
      </c>
      <c r="K68" s="916">
        <v>0</v>
      </c>
      <c r="L68" s="908" t="s">
        <v>661</v>
      </c>
      <c r="M68" s="916">
        <f>SUM(C68:K68)</f>
        <v>11785</v>
      </c>
    </row>
    <row r="69" spans="1:13" hidden="1" x14ac:dyDescent="0.2">
      <c r="C69" s="916"/>
      <c r="D69" s="916"/>
      <c r="E69" s="916"/>
      <c r="F69" s="916"/>
      <c r="G69" s="916"/>
      <c r="H69" s="916"/>
      <c r="I69" s="916"/>
      <c r="J69" s="916"/>
      <c r="K69" s="916"/>
      <c r="L69" s="922"/>
      <c r="M69" s="908"/>
    </row>
    <row r="70" spans="1:13" s="2" customFormat="1" x14ac:dyDescent="0.2">
      <c r="B70" s="39" t="s">
        <v>127</v>
      </c>
      <c r="C70" s="931">
        <f>SUM(C64:C69)</f>
        <v>0</v>
      </c>
      <c r="D70" s="931">
        <f t="shared" ref="D70:K70" si="10">SUM(D64:D69)</f>
        <v>0</v>
      </c>
      <c r="E70" s="931">
        <f t="shared" si="10"/>
        <v>11785</v>
      </c>
      <c r="F70" s="931">
        <f t="shared" si="10"/>
        <v>0</v>
      </c>
      <c r="G70" s="931">
        <f t="shared" si="10"/>
        <v>0</v>
      </c>
      <c r="H70" s="931">
        <f t="shared" si="10"/>
        <v>20013</v>
      </c>
      <c r="I70" s="931">
        <f t="shared" si="10"/>
        <v>194759</v>
      </c>
      <c r="J70" s="931">
        <f t="shared" si="10"/>
        <v>0</v>
      </c>
      <c r="K70" s="931">
        <f t="shared" si="10"/>
        <v>-214772</v>
      </c>
      <c r="L70" s="930">
        <f>SUM(C70:K70)</f>
        <v>11785</v>
      </c>
      <c r="M70" s="903"/>
    </row>
    <row r="71" spans="1:13" x14ac:dyDescent="0.2">
      <c r="C71" s="916"/>
      <c r="D71" s="916"/>
      <c r="E71" s="916"/>
      <c r="F71" s="916"/>
      <c r="G71" s="916"/>
      <c r="H71" s="916"/>
      <c r="I71" s="916"/>
      <c r="J71" s="916"/>
      <c r="K71" s="916"/>
      <c r="L71" s="922"/>
      <c r="M71" s="908"/>
    </row>
    <row r="72" spans="1:13" s="2" customFormat="1" x14ac:dyDescent="0.2">
      <c r="B72" s="18" t="s">
        <v>128</v>
      </c>
      <c r="C72" s="931">
        <f>SUM(C70,C63,C49,C36)</f>
        <v>7070957</v>
      </c>
      <c r="D72" s="931">
        <f t="shared" ref="D72:K72" si="11">SUM(D70,D63,D49,D36)</f>
        <v>1104670</v>
      </c>
      <c r="E72" s="931">
        <f t="shared" si="11"/>
        <v>87785</v>
      </c>
      <c r="F72" s="931">
        <f t="shared" si="11"/>
        <v>15053</v>
      </c>
      <c r="G72" s="931">
        <f t="shared" si="11"/>
        <v>596801</v>
      </c>
      <c r="H72" s="931">
        <f t="shared" si="11"/>
        <v>921887</v>
      </c>
      <c r="I72" s="931">
        <f t="shared" si="11"/>
        <v>652141</v>
      </c>
      <c r="J72" s="931">
        <f t="shared" si="11"/>
        <v>10000</v>
      </c>
      <c r="K72" s="931">
        <f t="shared" si="11"/>
        <v>-214772</v>
      </c>
      <c r="L72" s="930">
        <f>SUM(L36:L71)</f>
        <v>10244522</v>
      </c>
      <c r="M72" s="903"/>
    </row>
    <row r="73" spans="1:13" s="2" customFormat="1" x14ac:dyDescent="0.2">
      <c r="B73" s="18"/>
      <c r="C73" s="931"/>
      <c r="D73" s="931"/>
      <c r="E73" s="931"/>
      <c r="F73" s="931"/>
      <c r="G73" s="931"/>
      <c r="H73" s="931"/>
      <c r="I73" s="931"/>
      <c r="J73" s="931"/>
      <c r="K73" s="931"/>
      <c r="L73" s="930"/>
      <c r="M73" s="903"/>
    </row>
    <row r="74" spans="1:13" s="37" customFormat="1" hidden="1" x14ac:dyDescent="0.2">
      <c r="A74" s="45"/>
      <c r="B74" s="37" t="s">
        <v>662</v>
      </c>
      <c r="C74" s="920">
        <v>0</v>
      </c>
      <c r="D74" s="920">
        <v>0</v>
      </c>
      <c r="E74" s="920">
        <v>0</v>
      </c>
      <c r="F74" s="920">
        <v>0</v>
      </c>
      <c r="G74" s="920">
        <v>0</v>
      </c>
      <c r="H74" s="920">
        <v>0</v>
      </c>
      <c r="I74" s="920">
        <v>0</v>
      </c>
      <c r="J74" s="920">
        <v>0</v>
      </c>
      <c r="K74" s="920">
        <v>0</v>
      </c>
      <c r="L74" s="921" t="str">
        <f t="shared" ref="L74:L79" si="12">B74</f>
        <v>Reserved Net Proceeds</v>
      </c>
      <c r="M74" s="921">
        <f t="shared" ref="M74:M79" si="13">SUM(C74:K74)</f>
        <v>0</v>
      </c>
    </row>
    <row r="75" spans="1:13" s="37" customFormat="1" hidden="1" x14ac:dyDescent="0.2">
      <c r="A75" s="45"/>
      <c r="B75" s="37" t="s">
        <v>663</v>
      </c>
      <c r="C75" s="920">
        <v>0</v>
      </c>
      <c r="D75" s="920">
        <v>0</v>
      </c>
      <c r="E75" s="920">
        <v>0</v>
      </c>
      <c r="F75" s="920">
        <v>0</v>
      </c>
      <c r="G75" s="920">
        <v>0</v>
      </c>
      <c r="H75" s="920">
        <v>0</v>
      </c>
      <c r="I75" s="920">
        <v>0</v>
      </c>
      <c r="J75" s="920">
        <v>0</v>
      </c>
      <c r="K75" s="920">
        <v>0</v>
      </c>
      <c r="L75" s="921" t="str">
        <f t="shared" si="12"/>
        <v>Reserved Fund Balance - PIRC</v>
      </c>
      <c r="M75" s="921">
        <f t="shared" si="13"/>
        <v>0</v>
      </c>
    </row>
    <row r="76" spans="1:13" s="37" customFormat="1" x14ac:dyDescent="0.2">
      <c r="A76" s="45"/>
      <c r="B76" s="37" t="s">
        <v>303</v>
      </c>
      <c r="C76" s="920">
        <v>0</v>
      </c>
      <c r="D76" s="920">
        <v>0</v>
      </c>
      <c r="E76" s="920">
        <v>0</v>
      </c>
      <c r="F76" s="920">
        <v>76044</v>
      </c>
      <c r="G76" s="920">
        <v>0</v>
      </c>
      <c r="H76" s="920">
        <v>0</v>
      </c>
      <c r="I76" s="920">
        <v>0</v>
      </c>
      <c r="J76" s="920">
        <v>0</v>
      </c>
      <c r="K76" s="920">
        <v>0</v>
      </c>
      <c r="L76" s="921" t="str">
        <f t="shared" si="12"/>
        <v>Reserved Opening Balance</v>
      </c>
      <c r="M76" s="921">
        <f t="shared" si="13"/>
        <v>76044</v>
      </c>
    </row>
    <row r="77" spans="1:13" s="37" customFormat="1" x14ac:dyDescent="0.2">
      <c r="A77" s="45"/>
      <c r="B77" s="37" t="s">
        <v>600</v>
      </c>
      <c r="C77" s="920">
        <v>0</v>
      </c>
      <c r="D77" s="920">
        <v>0</v>
      </c>
      <c r="E77" s="920">
        <v>0</v>
      </c>
      <c r="F77" s="920">
        <v>6762</v>
      </c>
      <c r="G77" s="920">
        <v>0</v>
      </c>
      <c r="H77" s="920">
        <v>0</v>
      </c>
      <c r="I77" s="920">
        <v>0</v>
      </c>
      <c r="J77" s="920">
        <v>0</v>
      </c>
      <c r="K77" s="920">
        <v>0</v>
      </c>
      <c r="L77" s="921" t="str">
        <f t="shared" si="12"/>
        <v>Unreserved Opening Balance</v>
      </c>
      <c r="M77" s="921">
        <f t="shared" si="13"/>
        <v>6762</v>
      </c>
    </row>
    <row r="78" spans="1:13" s="37" customFormat="1" x14ac:dyDescent="0.2">
      <c r="A78" s="45"/>
      <c r="B78" s="37" t="s">
        <v>304</v>
      </c>
      <c r="C78" s="920">
        <v>8587618</v>
      </c>
      <c r="D78" s="920">
        <v>629091</v>
      </c>
      <c r="E78" s="920">
        <v>424156</v>
      </c>
      <c r="F78" s="920">
        <v>0</v>
      </c>
      <c r="G78" s="920">
        <v>0</v>
      </c>
      <c r="H78" s="920">
        <v>0</v>
      </c>
      <c r="I78" s="920">
        <v>0</v>
      </c>
      <c r="J78" s="920">
        <v>25567</v>
      </c>
      <c r="K78" s="920">
        <v>0</v>
      </c>
      <c r="L78" s="921" t="str">
        <f t="shared" si="12"/>
        <v>Opening Balance (Other)</v>
      </c>
      <c r="M78" s="921">
        <f t="shared" si="13"/>
        <v>9666432</v>
      </c>
    </row>
    <row r="79" spans="1:13" s="37" customFormat="1" hidden="1" x14ac:dyDescent="0.2">
      <c r="A79" s="45"/>
      <c r="B79" s="37" t="s">
        <v>305</v>
      </c>
      <c r="C79" s="920">
        <v>0</v>
      </c>
      <c r="D79" s="920">
        <v>0</v>
      </c>
      <c r="E79" s="920">
        <v>0</v>
      </c>
      <c r="F79" s="920">
        <v>0</v>
      </c>
      <c r="G79" s="920">
        <v>0</v>
      </c>
      <c r="H79" s="920">
        <v>0</v>
      </c>
      <c r="I79" s="920">
        <v>0</v>
      </c>
      <c r="J79" s="920">
        <v>0</v>
      </c>
      <c r="K79" s="920">
        <v>0</v>
      </c>
      <c r="L79" s="921" t="str">
        <f t="shared" si="12"/>
        <v>Reverted to State</v>
      </c>
      <c r="M79" s="921">
        <f t="shared" si="13"/>
        <v>0</v>
      </c>
    </row>
    <row r="80" spans="1:13" hidden="1" x14ac:dyDescent="0.2">
      <c r="C80" s="916"/>
      <c r="D80" s="916"/>
      <c r="E80" s="916"/>
      <c r="F80" s="916"/>
      <c r="G80" s="916"/>
      <c r="H80" s="916"/>
      <c r="I80" s="916"/>
      <c r="J80" s="916"/>
      <c r="K80" s="916"/>
      <c r="L80" s="908"/>
      <c r="M80" s="908"/>
    </row>
    <row r="81" spans="1:14" s="2" customFormat="1" x14ac:dyDescent="0.2">
      <c r="B81" s="39" t="s">
        <v>129</v>
      </c>
      <c r="C81" s="931">
        <f>SUM(C73:C80)</f>
        <v>8587618</v>
      </c>
      <c r="D81" s="931">
        <f t="shared" ref="D81:K81" si="14">SUM(D73:D80)</f>
        <v>629091</v>
      </c>
      <c r="E81" s="931">
        <f t="shared" si="14"/>
        <v>424156</v>
      </c>
      <c r="F81" s="931">
        <f t="shared" si="14"/>
        <v>82806</v>
      </c>
      <c r="G81" s="931">
        <f t="shared" si="14"/>
        <v>0</v>
      </c>
      <c r="H81" s="931">
        <f t="shared" si="14"/>
        <v>0</v>
      </c>
      <c r="I81" s="931">
        <f t="shared" si="14"/>
        <v>0</v>
      </c>
      <c r="J81" s="931">
        <f t="shared" si="14"/>
        <v>25567</v>
      </c>
      <c r="K81" s="931">
        <f t="shared" si="14"/>
        <v>0</v>
      </c>
      <c r="L81" s="931">
        <f>SUM(C81:K81)</f>
        <v>9749238</v>
      </c>
      <c r="M81" s="903"/>
    </row>
    <row r="83" spans="1:14" x14ac:dyDescent="0.2">
      <c r="A83" s="22"/>
      <c r="B83" s="23" t="s">
        <v>306</v>
      </c>
      <c r="C83" s="24">
        <f>SUM(C81,C72)</f>
        <v>15658575</v>
      </c>
      <c r="D83" s="24">
        <f t="shared" ref="D83:K83" si="15">SUM(D81,D72)</f>
        <v>1733761</v>
      </c>
      <c r="E83" s="24">
        <f t="shared" si="15"/>
        <v>511941</v>
      </c>
      <c r="F83" s="24">
        <f t="shared" si="15"/>
        <v>97859</v>
      </c>
      <c r="G83" s="24">
        <f t="shared" si="15"/>
        <v>596801</v>
      </c>
      <c r="H83" s="24">
        <f t="shared" si="15"/>
        <v>921887</v>
      </c>
      <c r="I83" s="24">
        <f t="shared" si="15"/>
        <v>652141</v>
      </c>
      <c r="J83" s="24">
        <f t="shared" si="15"/>
        <v>35567</v>
      </c>
      <c r="K83" s="24">
        <f t="shared" si="15"/>
        <v>-214772</v>
      </c>
      <c r="L83" s="25">
        <f>SUM(C83:K83)</f>
        <v>19993760</v>
      </c>
      <c r="M83" s="26">
        <f>F1-L83</f>
        <v>0</v>
      </c>
      <c r="N83" s="17"/>
    </row>
    <row r="84" spans="1:14" s="2" customFormat="1" x14ac:dyDescent="0.2">
      <c r="A84" s="27"/>
      <c r="B84" s="28" t="s">
        <v>131</v>
      </c>
      <c r="C84" s="285">
        <f t="shared" ref="C84:K84" si="16">SUM(C88:C225)</f>
        <v>15658575</v>
      </c>
      <c r="D84" s="285">
        <f t="shared" si="16"/>
        <v>1733761</v>
      </c>
      <c r="E84" s="285">
        <f t="shared" si="16"/>
        <v>511941</v>
      </c>
      <c r="F84" s="285">
        <f t="shared" si="16"/>
        <v>97859</v>
      </c>
      <c r="G84" s="285">
        <f t="shared" si="16"/>
        <v>596801</v>
      </c>
      <c r="H84" s="285">
        <f t="shared" si="16"/>
        <v>921887</v>
      </c>
      <c r="I84" s="285">
        <f t="shared" si="16"/>
        <v>652141</v>
      </c>
      <c r="J84" s="285">
        <f t="shared" si="16"/>
        <v>35567</v>
      </c>
      <c r="K84" s="285">
        <f t="shared" si="16"/>
        <v>-214772</v>
      </c>
      <c r="L84" s="29">
        <f>SUM(C84:K84)</f>
        <v>19993760</v>
      </c>
    </row>
    <row r="85" spans="1:14" s="3" customFormat="1" x14ac:dyDescent="0.2">
      <c r="A85" s="30"/>
      <c r="B85" s="286" t="s">
        <v>132</v>
      </c>
      <c r="C85" s="287">
        <f t="shared" ref="C85:L85" si="17">C83-C84</f>
        <v>0</v>
      </c>
      <c r="D85" s="287">
        <f>D83-D84</f>
        <v>0</v>
      </c>
      <c r="E85" s="287">
        <f t="shared" ref="E85:K85" si="18">E83-E84</f>
        <v>0</v>
      </c>
      <c r="F85" s="287">
        <f>F83-F84</f>
        <v>0</v>
      </c>
      <c r="G85" s="287">
        <f t="shared" si="18"/>
        <v>0</v>
      </c>
      <c r="H85" s="287">
        <f t="shared" si="18"/>
        <v>0</v>
      </c>
      <c r="I85" s="287">
        <f t="shared" si="18"/>
        <v>0</v>
      </c>
      <c r="J85" s="287">
        <f t="shared" si="18"/>
        <v>0</v>
      </c>
      <c r="K85" s="287">
        <f t="shared" si="18"/>
        <v>0</v>
      </c>
      <c r="L85" s="522">
        <f t="shared" si="17"/>
        <v>0</v>
      </c>
    </row>
    <row r="87" spans="1:14" x14ac:dyDescent="0.2">
      <c r="B87" s="2" t="s">
        <v>307</v>
      </c>
    </row>
    <row r="88" spans="1:14" x14ac:dyDescent="0.2">
      <c r="A88" s="2">
        <v>100</v>
      </c>
      <c r="B88" t="s">
        <v>134</v>
      </c>
      <c r="C88" s="916">
        <v>3255940</v>
      </c>
      <c r="D88" s="916">
        <v>0</v>
      </c>
      <c r="E88" s="916">
        <v>0</v>
      </c>
      <c r="F88" s="916">
        <v>700</v>
      </c>
      <c r="G88" s="916">
        <v>41734</v>
      </c>
      <c r="H88" s="916">
        <v>453166</v>
      </c>
      <c r="I88" s="916">
        <v>0</v>
      </c>
      <c r="J88" s="916">
        <v>0</v>
      </c>
      <c r="K88" s="916">
        <v>0</v>
      </c>
      <c r="L88" s="916">
        <f t="shared" ref="L88:L134" si="19">SUM(C88:K88)</f>
        <v>3751540</v>
      </c>
    </row>
    <row r="89" spans="1:14" x14ac:dyDescent="0.2">
      <c r="A89" s="2">
        <v>200</v>
      </c>
      <c r="B89" t="s">
        <v>135</v>
      </c>
      <c r="C89" s="916">
        <v>0</v>
      </c>
      <c r="D89" s="916">
        <v>0</v>
      </c>
      <c r="E89" s="916">
        <v>0</v>
      </c>
      <c r="F89" s="916">
        <v>0</v>
      </c>
      <c r="G89" s="916">
        <v>555067</v>
      </c>
      <c r="H89" s="916">
        <v>0</v>
      </c>
      <c r="I89" s="916">
        <v>563063</v>
      </c>
      <c r="J89" s="916">
        <v>0</v>
      </c>
      <c r="K89" s="916">
        <v>0</v>
      </c>
      <c r="L89" s="916">
        <f t="shared" si="19"/>
        <v>1118130</v>
      </c>
    </row>
    <row r="90" spans="1:14" hidden="1" x14ac:dyDescent="0.2">
      <c r="A90" s="2" t="s">
        <v>10</v>
      </c>
      <c r="B90" t="s">
        <v>136</v>
      </c>
      <c r="C90" s="916">
        <v>0</v>
      </c>
      <c r="D90" s="916">
        <v>0</v>
      </c>
      <c r="E90" s="916">
        <v>0</v>
      </c>
      <c r="F90" s="916">
        <v>0</v>
      </c>
      <c r="G90" s="916">
        <v>0</v>
      </c>
      <c r="H90" s="916">
        <v>0</v>
      </c>
      <c r="I90" s="916">
        <v>0</v>
      </c>
      <c r="J90" s="916">
        <v>0</v>
      </c>
      <c r="K90" s="916">
        <v>0</v>
      </c>
      <c r="L90" s="916">
        <f t="shared" si="19"/>
        <v>0</v>
      </c>
    </row>
    <row r="91" spans="1:14" hidden="1" x14ac:dyDescent="0.2">
      <c r="A91" s="2">
        <v>270</v>
      </c>
      <c r="B91" t="s">
        <v>137</v>
      </c>
      <c r="C91" s="916">
        <v>0</v>
      </c>
      <c r="D91" s="916">
        <v>0</v>
      </c>
      <c r="E91" s="916">
        <v>0</v>
      </c>
      <c r="F91" s="916">
        <v>0</v>
      </c>
      <c r="G91" s="916">
        <v>0</v>
      </c>
      <c r="H91" s="916">
        <v>0</v>
      </c>
      <c r="I91" s="916">
        <v>0</v>
      </c>
      <c r="J91" s="916">
        <v>0</v>
      </c>
      <c r="K91" s="916">
        <v>0</v>
      </c>
      <c r="L91" s="916">
        <f t="shared" si="19"/>
        <v>0</v>
      </c>
    </row>
    <row r="92" spans="1:14" hidden="1" x14ac:dyDescent="0.2">
      <c r="A92" s="2" t="s">
        <v>10</v>
      </c>
      <c r="B92" t="s">
        <v>138</v>
      </c>
      <c r="C92" s="916">
        <v>0</v>
      </c>
      <c r="D92" s="916">
        <v>0</v>
      </c>
      <c r="E92" s="916">
        <v>0</v>
      </c>
      <c r="F92" s="916">
        <v>0</v>
      </c>
      <c r="G92" s="916">
        <v>0</v>
      </c>
      <c r="H92" s="916">
        <v>0</v>
      </c>
      <c r="I92" s="916">
        <v>0</v>
      </c>
      <c r="J92" s="916">
        <v>0</v>
      </c>
      <c r="K92" s="916">
        <v>0</v>
      </c>
      <c r="L92" s="916">
        <f t="shared" si="19"/>
        <v>0</v>
      </c>
    </row>
    <row r="93" spans="1:14" hidden="1" x14ac:dyDescent="0.2">
      <c r="A93" s="2">
        <v>300</v>
      </c>
      <c r="B93" t="s">
        <v>139</v>
      </c>
      <c r="C93" s="916">
        <v>0</v>
      </c>
      <c r="D93" s="916">
        <v>0</v>
      </c>
      <c r="E93" s="916">
        <v>0</v>
      </c>
      <c r="F93" s="916">
        <v>0</v>
      </c>
      <c r="G93" s="916">
        <v>0</v>
      </c>
      <c r="H93" s="916">
        <v>0</v>
      </c>
      <c r="I93" s="916">
        <v>0</v>
      </c>
      <c r="J93" s="916">
        <v>0</v>
      </c>
      <c r="K93" s="916">
        <v>0</v>
      </c>
      <c r="L93" s="916">
        <f t="shared" si="19"/>
        <v>0</v>
      </c>
    </row>
    <row r="94" spans="1:14" hidden="1" x14ac:dyDescent="0.2">
      <c r="A94" s="2">
        <v>400</v>
      </c>
      <c r="B94" t="s">
        <v>140</v>
      </c>
      <c r="C94" s="916">
        <v>0</v>
      </c>
      <c r="D94" s="916">
        <v>0</v>
      </c>
      <c r="E94" s="916">
        <v>0</v>
      </c>
      <c r="F94" s="916">
        <v>0</v>
      </c>
      <c r="G94" s="916">
        <v>0</v>
      </c>
      <c r="H94" s="916">
        <v>0</v>
      </c>
      <c r="I94" s="916">
        <v>0</v>
      </c>
      <c r="J94" s="916">
        <v>0</v>
      </c>
      <c r="K94" s="916">
        <v>0</v>
      </c>
      <c r="L94" s="916">
        <f t="shared" si="19"/>
        <v>0</v>
      </c>
    </row>
    <row r="95" spans="1:14" hidden="1" x14ac:dyDescent="0.2">
      <c r="A95" s="2" t="s">
        <v>10</v>
      </c>
      <c r="B95" t="s">
        <v>141</v>
      </c>
      <c r="C95" s="916">
        <v>0</v>
      </c>
      <c r="D95" s="916">
        <v>0</v>
      </c>
      <c r="E95" s="916">
        <v>0</v>
      </c>
      <c r="F95" s="916">
        <v>0</v>
      </c>
      <c r="G95" s="916">
        <v>0</v>
      </c>
      <c r="H95" s="916">
        <v>0</v>
      </c>
      <c r="I95" s="916">
        <v>0</v>
      </c>
      <c r="J95" s="916">
        <v>0</v>
      </c>
      <c r="K95" s="916">
        <v>0</v>
      </c>
      <c r="L95" s="916">
        <f t="shared" si="19"/>
        <v>0</v>
      </c>
    </row>
    <row r="96" spans="1:14" hidden="1" x14ac:dyDescent="0.2">
      <c r="A96" s="2" t="s">
        <v>10</v>
      </c>
      <c r="B96" t="s">
        <v>142</v>
      </c>
      <c r="C96" s="916">
        <v>0</v>
      </c>
      <c r="D96" s="916">
        <v>0</v>
      </c>
      <c r="E96" s="916">
        <v>0</v>
      </c>
      <c r="F96" s="916">
        <v>0</v>
      </c>
      <c r="G96" s="916">
        <v>0</v>
      </c>
      <c r="H96" s="916">
        <v>0</v>
      </c>
      <c r="I96" s="916">
        <v>0</v>
      </c>
      <c r="J96" s="916">
        <v>0</v>
      </c>
      <c r="K96" s="916">
        <v>0</v>
      </c>
      <c r="L96" s="916">
        <f t="shared" si="19"/>
        <v>0</v>
      </c>
    </row>
    <row r="97" spans="1:12" hidden="1" x14ac:dyDescent="0.2">
      <c r="A97" s="2">
        <v>430</v>
      </c>
      <c r="B97" s="3" t="s">
        <v>548</v>
      </c>
      <c r="C97" s="916">
        <v>0</v>
      </c>
      <c r="D97" s="916">
        <v>0</v>
      </c>
      <c r="E97" s="916">
        <v>0</v>
      </c>
      <c r="F97" s="916">
        <v>0</v>
      </c>
      <c r="G97" s="916">
        <v>0</v>
      </c>
      <c r="H97" s="916">
        <v>0</v>
      </c>
      <c r="I97" s="916">
        <v>0</v>
      </c>
      <c r="J97" s="916">
        <v>0</v>
      </c>
      <c r="K97" s="916">
        <v>0</v>
      </c>
      <c r="L97" s="916">
        <f t="shared" si="19"/>
        <v>0</v>
      </c>
    </row>
    <row r="98" spans="1:12" hidden="1" x14ac:dyDescent="0.2">
      <c r="A98" s="2">
        <v>440</v>
      </c>
      <c r="B98" t="s">
        <v>143</v>
      </c>
      <c r="C98" s="916">
        <v>0</v>
      </c>
      <c r="D98" s="916">
        <v>0</v>
      </c>
      <c r="E98" s="916">
        <v>0</v>
      </c>
      <c r="F98" s="916">
        <v>0</v>
      </c>
      <c r="G98" s="916">
        <v>0</v>
      </c>
      <c r="H98" s="916">
        <v>0</v>
      </c>
      <c r="I98" s="916">
        <v>0</v>
      </c>
      <c r="J98" s="916">
        <v>0</v>
      </c>
      <c r="K98" s="916">
        <v>0</v>
      </c>
      <c r="L98" s="916">
        <f t="shared" si="19"/>
        <v>0</v>
      </c>
    </row>
    <row r="99" spans="1:12" hidden="1" x14ac:dyDescent="0.2">
      <c r="A99" s="2">
        <v>500</v>
      </c>
      <c r="B99" t="s">
        <v>144</v>
      </c>
      <c r="C99" s="916">
        <v>0</v>
      </c>
      <c r="D99" s="916">
        <v>0</v>
      </c>
      <c r="E99" s="916">
        <v>0</v>
      </c>
      <c r="F99" s="916">
        <v>0</v>
      </c>
      <c r="G99" s="916">
        <v>0</v>
      </c>
      <c r="H99" s="916">
        <v>0</v>
      </c>
      <c r="I99" s="916">
        <v>0</v>
      </c>
      <c r="J99" s="916">
        <v>0</v>
      </c>
      <c r="K99" s="916">
        <v>0</v>
      </c>
      <c r="L99" s="916">
        <f t="shared" si="19"/>
        <v>0</v>
      </c>
    </row>
    <row r="100" spans="1:12" hidden="1" x14ac:dyDescent="0.2">
      <c r="A100" s="2">
        <v>600</v>
      </c>
      <c r="B100" t="s">
        <v>145</v>
      </c>
      <c r="C100" s="916">
        <v>0</v>
      </c>
      <c r="D100" s="916">
        <v>0</v>
      </c>
      <c r="E100" s="916">
        <v>0</v>
      </c>
      <c r="F100" s="916">
        <v>0</v>
      </c>
      <c r="G100" s="916">
        <v>0</v>
      </c>
      <c r="H100" s="916">
        <v>0</v>
      </c>
      <c r="I100" s="916">
        <v>0</v>
      </c>
      <c r="J100" s="916">
        <v>0</v>
      </c>
      <c r="K100" s="916">
        <v>0</v>
      </c>
      <c r="L100" s="916">
        <f t="shared" si="19"/>
        <v>0</v>
      </c>
    </row>
    <row r="101" spans="1:12" hidden="1" x14ac:dyDescent="0.2">
      <c r="A101" s="2">
        <v>800</v>
      </c>
      <c r="B101" t="s">
        <v>146</v>
      </c>
      <c r="C101" s="916">
        <v>0</v>
      </c>
      <c r="D101" s="916">
        <v>0</v>
      </c>
      <c r="E101" s="916">
        <v>0</v>
      </c>
      <c r="F101" s="916">
        <v>0</v>
      </c>
      <c r="G101" s="916">
        <v>0</v>
      </c>
      <c r="H101" s="916">
        <v>0</v>
      </c>
      <c r="I101" s="916">
        <v>0</v>
      </c>
      <c r="J101" s="916">
        <v>0</v>
      </c>
      <c r="K101" s="916">
        <v>0</v>
      </c>
      <c r="L101" s="916">
        <f t="shared" si="19"/>
        <v>0</v>
      </c>
    </row>
    <row r="102" spans="1:12" x14ac:dyDescent="0.2">
      <c r="A102" s="2">
        <v>910</v>
      </c>
      <c r="B102" t="s">
        <v>147</v>
      </c>
      <c r="C102" s="916">
        <v>39634</v>
      </c>
      <c r="D102" s="916">
        <v>0</v>
      </c>
      <c r="E102" s="916">
        <v>0</v>
      </c>
      <c r="F102" s="916">
        <v>0</v>
      </c>
      <c r="G102" s="916">
        <v>0</v>
      </c>
      <c r="H102" s="916">
        <v>0</v>
      </c>
      <c r="I102" s="916">
        <v>0</v>
      </c>
      <c r="J102" s="916">
        <v>0</v>
      </c>
      <c r="K102" s="916">
        <v>0</v>
      </c>
      <c r="L102" s="916">
        <f t="shared" si="19"/>
        <v>39634</v>
      </c>
    </row>
    <row r="103" spans="1:12" x14ac:dyDescent="0.2">
      <c r="A103" s="2">
        <v>920</v>
      </c>
      <c r="B103" t="s">
        <v>148</v>
      </c>
      <c r="C103" s="916">
        <v>139268</v>
      </c>
      <c r="D103" s="916">
        <v>0</v>
      </c>
      <c r="E103" s="916">
        <v>0</v>
      </c>
      <c r="F103" s="916">
        <v>0</v>
      </c>
      <c r="G103" s="916">
        <v>0</v>
      </c>
      <c r="H103" s="916">
        <v>0</v>
      </c>
      <c r="I103" s="916">
        <v>0</v>
      </c>
      <c r="J103" s="916">
        <v>0</v>
      </c>
      <c r="K103" s="916">
        <v>0</v>
      </c>
      <c r="L103" s="916">
        <f t="shared" si="19"/>
        <v>139268</v>
      </c>
    </row>
    <row r="104" spans="1:12" x14ac:dyDescent="0.2">
      <c r="C104" s="916"/>
      <c r="D104" s="916"/>
      <c r="E104" s="916"/>
      <c r="F104" s="916"/>
      <c r="G104" s="916"/>
      <c r="H104" s="916"/>
      <c r="I104" s="916"/>
      <c r="J104" s="916"/>
      <c r="K104" s="916"/>
      <c r="L104" s="916"/>
    </row>
    <row r="105" spans="1:12" x14ac:dyDescent="0.2">
      <c r="A105" s="2" t="s">
        <v>149</v>
      </c>
      <c r="B105" s="2" t="s">
        <v>150</v>
      </c>
      <c r="C105" s="916"/>
      <c r="D105" s="916"/>
      <c r="E105" s="916"/>
      <c r="F105" s="916"/>
      <c r="G105" s="916"/>
      <c r="H105" s="916"/>
      <c r="I105" s="916"/>
      <c r="J105" s="916"/>
      <c r="K105" s="916"/>
      <c r="L105" s="916"/>
    </row>
    <row r="106" spans="1:12" x14ac:dyDescent="0.2">
      <c r="A106" s="2">
        <v>2100</v>
      </c>
      <c r="B106" t="s">
        <v>151</v>
      </c>
      <c r="C106" s="916">
        <v>217078</v>
      </c>
      <c r="D106" s="916">
        <v>0</v>
      </c>
      <c r="E106" s="916">
        <v>0</v>
      </c>
      <c r="F106" s="916">
        <v>0</v>
      </c>
      <c r="G106" s="916">
        <v>0</v>
      </c>
      <c r="H106" s="916">
        <v>130715</v>
      </c>
      <c r="I106" s="916">
        <v>82991</v>
      </c>
      <c r="J106" s="916">
        <v>0</v>
      </c>
      <c r="K106" s="916">
        <v>0</v>
      </c>
      <c r="L106" s="916">
        <f t="shared" si="19"/>
        <v>430784</v>
      </c>
    </row>
    <row r="107" spans="1:12" x14ac:dyDescent="0.2">
      <c r="A107" s="2">
        <v>2200</v>
      </c>
      <c r="B107" t="s">
        <v>152</v>
      </c>
      <c r="C107" s="916">
        <v>127613</v>
      </c>
      <c r="D107" s="916">
        <v>0</v>
      </c>
      <c r="E107" s="916">
        <v>0</v>
      </c>
      <c r="F107" s="916">
        <v>0</v>
      </c>
      <c r="G107" s="916">
        <v>0</v>
      </c>
      <c r="H107" s="916">
        <v>56901</v>
      </c>
      <c r="I107" s="916">
        <v>0</v>
      </c>
      <c r="J107" s="916">
        <v>0</v>
      </c>
      <c r="K107" s="916">
        <v>0</v>
      </c>
      <c r="L107" s="916">
        <f t="shared" si="19"/>
        <v>184514</v>
      </c>
    </row>
    <row r="108" spans="1:12" x14ac:dyDescent="0.2">
      <c r="A108" s="2">
        <v>2300</v>
      </c>
      <c r="B108" t="s">
        <v>153</v>
      </c>
      <c r="C108" s="916">
        <v>763703</v>
      </c>
      <c r="D108" s="916">
        <v>0</v>
      </c>
      <c r="E108" s="916">
        <v>0</v>
      </c>
      <c r="F108" s="916">
        <v>0</v>
      </c>
      <c r="G108" s="916">
        <v>0</v>
      </c>
      <c r="H108" s="916">
        <v>0</v>
      </c>
      <c r="I108" s="916">
        <v>0</v>
      </c>
      <c r="J108" s="916">
        <v>0</v>
      </c>
      <c r="K108" s="916">
        <v>0</v>
      </c>
      <c r="L108" s="916">
        <f t="shared" si="19"/>
        <v>763703</v>
      </c>
    </row>
    <row r="109" spans="1:12" x14ac:dyDescent="0.2">
      <c r="A109" s="2">
        <v>2400</v>
      </c>
      <c r="B109" t="s">
        <v>154</v>
      </c>
      <c r="C109" s="916">
        <v>716791</v>
      </c>
      <c r="D109" s="916">
        <v>0</v>
      </c>
      <c r="E109" s="916">
        <v>0</v>
      </c>
      <c r="F109" s="916">
        <v>0</v>
      </c>
      <c r="G109" s="916">
        <v>0</v>
      </c>
      <c r="H109" s="916">
        <v>0</v>
      </c>
      <c r="I109" s="957">
        <v>6087</v>
      </c>
      <c r="J109" s="916">
        <v>0</v>
      </c>
      <c r="K109" s="916">
        <v>0</v>
      </c>
      <c r="L109" s="916">
        <f t="shared" si="19"/>
        <v>722878</v>
      </c>
    </row>
    <row r="110" spans="1:12" x14ac:dyDescent="0.2">
      <c r="A110" s="2">
        <v>2500</v>
      </c>
      <c r="B110" t="s">
        <v>155</v>
      </c>
      <c r="C110" s="916">
        <v>235341</v>
      </c>
      <c r="D110" s="916">
        <v>0</v>
      </c>
      <c r="E110" s="916">
        <v>0</v>
      </c>
      <c r="F110" s="916">
        <v>0</v>
      </c>
      <c r="G110" s="916">
        <v>0</v>
      </c>
      <c r="H110" s="916">
        <v>0</v>
      </c>
      <c r="I110" s="916">
        <v>0</v>
      </c>
      <c r="J110" s="916">
        <v>0</v>
      </c>
      <c r="K110" s="916">
        <v>0</v>
      </c>
      <c r="L110" s="916">
        <f t="shared" si="19"/>
        <v>235341</v>
      </c>
    </row>
    <row r="111" spans="1:12" x14ac:dyDescent="0.2">
      <c r="A111" s="2">
        <v>2580</v>
      </c>
      <c r="B111" t="s">
        <v>158</v>
      </c>
      <c r="C111" s="916">
        <v>512404</v>
      </c>
      <c r="D111" s="916">
        <v>0</v>
      </c>
      <c r="E111" s="916">
        <v>0</v>
      </c>
      <c r="F111" s="916">
        <v>0</v>
      </c>
      <c r="G111" s="916">
        <v>0</v>
      </c>
      <c r="H111" s="916">
        <v>0</v>
      </c>
      <c r="I111" s="916">
        <v>0</v>
      </c>
      <c r="J111" s="916">
        <v>0</v>
      </c>
      <c r="K111" s="916">
        <v>0</v>
      </c>
      <c r="L111" s="916">
        <f t="shared" si="19"/>
        <v>512404</v>
      </c>
    </row>
    <row r="112" spans="1:12" x14ac:dyDescent="0.2">
      <c r="A112" s="2">
        <v>2600</v>
      </c>
      <c r="B112" t="s">
        <v>156</v>
      </c>
      <c r="C112" s="916">
        <v>1239593</v>
      </c>
      <c r="D112" s="916">
        <v>0</v>
      </c>
      <c r="E112" s="916">
        <v>0</v>
      </c>
      <c r="F112" s="916">
        <v>0</v>
      </c>
      <c r="G112" s="916">
        <v>0</v>
      </c>
      <c r="H112" s="916">
        <v>0</v>
      </c>
      <c r="I112" s="916">
        <v>0</v>
      </c>
      <c r="J112" s="916">
        <v>0</v>
      </c>
      <c r="K112" s="916">
        <v>0</v>
      </c>
      <c r="L112" s="916">
        <f t="shared" si="19"/>
        <v>1239593</v>
      </c>
    </row>
    <row r="113" spans="1:12" x14ac:dyDescent="0.2">
      <c r="A113" s="2">
        <v>2700</v>
      </c>
      <c r="B113" t="s">
        <v>157</v>
      </c>
      <c r="C113" s="916">
        <v>756154</v>
      </c>
      <c r="D113" s="916">
        <v>0</v>
      </c>
      <c r="E113" s="916">
        <v>0</v>
      </c>
      <c r="F113" s="916">
        <v>0</v>
      </c>
      <c r="G113" s="916">
        <v>0</v>
      </c>
      <c r="H113" s="916">
        <v>0</v>
      </c>
      <c r="I113" s="916">
        <v>0</v>
      </c>
      <c r="J113" s="916">
        <v>0</v>
      </c>
      <c r="K113" s="916">
        <v>0</v>
      </c>
      <c r="L113" s="916">
        <f t="shared" si="19"/>
        <v>756154</v>
      </c>
    </row>
    <row r="114" spans="1:12" hidden="1" x14ac:dyDescent="0.2">
      <c r="A114" s="2">
        <v>2900</v>
      </c>
      <c r="B114" t="s">
        <v>158</v>
      </c>
      <c r="C114" s="916">
        <v>0</v>
      </c>
      <c r="D114" s="916">
        <v>0</v>
      </c>
      <c r="E114" s="916">
        <v>0</v>
      </c>
      <c r="F114" s="916">
        <v>0</v>
      </c>
      <c r="G114" s="916">
        <v>0</v>
      </c>
      <c r="H114" s="916">
        <v>0</v>
      </c>
      <c r="I114" s="916">
        <v>0</v>
      </c>
      <c r="J114" s="916">
        <v>0</v>
      </c>
      <c r="K114" s="916">
        <v>0</v>
      </c>
      <c r="L114" s="916">
        <f t="shared" si="19"/>
        <v>0</v>
      </c>
    </row>
    <row r="115" spans="1:12" hidden="1" x14ac:dyDescent="0.2">
      <c r="A115" s="2">
        <v>3000</v>
      </c>
      <c r="B115" t="s">
        <v>159</v>
      </c>
      <c r="C115" s="916">
        <v>0</v>
      </c>
      <c r="D115" s="916">
        <v>0</v>
      </c>
      <c r="E115" s="916">
        <v>0</v>
      </c>
      <c r="F115" s="916">
        <v>0</v>
      </c>
      <c r="G115" s="916">
        <v>0</v>
      </c>
      <c r="H115" s="916">
        <v>0</v>
      </c>
      <c r="I115" s="916">
        <v>0</v>
      </c>
      <c r="J115" s="916">
        <v>0</v>
      </c>
      <c r="K115" s="916">
        <v>0</v>
      </c>
      <c r="L115" s="916">
        <f t="shared" si="19"/>
        <v>0</v>
      </c>
    </row>
    <row r="116" spans="1:12" x14ac:dyDescent="0.2">
      <c r="A116" s="2">
        <v>3100</v>
      </c>
      <c r="B116" t="s">
        <v>160</v>
      </c>
      <c r="C116" s="916">
        <v>0</v>
      </c>
      <c r="D116" s="916">
        <v>0</v>
      </c>
      <c r="E116" s="916">
        <v>0</v>
      </c>
      <c r="F116" s="916">
        <v>0</v>
      </c>
      <c r="G116" s="916">
        <v>0</v>
      </c>
      <c r="H116" s="916">
        <v>30459</v>
      </c>
      <c r="I116" s="916">
        <v>0</v>
      </c>
      <c r="J116" s="916">
        <v>0</v>
      </c>
      <c r="K116" s="916">
        <v>0</v>
      </c>
      <c r="L116" s="916">
        <f t="shared" si="19"/>
        <v>30459</v>
      </c>
    </row>
    <row r="117" spans="1:12" hidden="1" x14ac:dyDescent="0.2">
      <c r="A117" s="2">
        <v>3200</v>
      </c>
      <c r="B117" t="s">
        <v>161</v>
      </c>
      <c r="C117" s="916">
        <v>0</v>
      </c>
      <c r="D117" s="916">
        <v>0</v>
      </c>
      <c r="E117" s="916">
        <v>0</v>
      </c>
      <c r="F117" s="916">
        <v>0</v>
      </c>
      <c r="G117" s="916">
        <v>0</v>
      </c>
      <c r="H117" s="916">
        <v>0</v>
      </c>
      <c r="I117" s="916">
        <v>0</v>
      </c>
      <c r="J117" s="916">
        <v>0</v>
      </c>
      <c r="K117" s="916">
        <v>0</v>
      </c>
      <c r="L117" s="916">
        <f t="shared" si="19"/>
        <v>0</v>
      </c>
    </row>
    <row r="118" spans="1:12" hidden="1" x14ac:dyDescent="0.2">
      <c r="A118" s="2">
        <v>3300</v>
      </c>
      <c r="B118" t="s">
        <v>162</v>
      </c>
      <c r="C118" s="916">
        <v>0</v>
      </c>
      <c r="D118" s="916">
        <v>0</v>
      </c>
      <c r="E118" s="916">
        <v>0</v>
      </c>
      <c r="F118" s="916">
        <v>0</v>
      </c>
      <c r="G118" s="916">
        <v>0</v>
      </c>
      <c r="H118" s="916">
        <v>0</v>
      </c>
      <c r="I118" s="916">
        <v>0</v>
      </c>
      <c r="J118" s="916">
        <v>0</v>
      </c>
      <c r="K118" s="916">
        <v>0</v>
      </c>
      <c r="L118" s="916">
        <f t="shared" si="19"/>
        <v>0</v>
      </c>
    </row>
    <row r="119" spans="1:12" hidden="1" x14ac:dyDescent="0.2">
      <c r="A119" s="2">
        <v>4000</v>
      </c>
      <c r="B119" t="s">
        <v>164</v>
      </c>
      <c r="C119" s="916">
        <v>0</v>
      </c>
      <c r="D119" s="916">
        <v>0</v>
      </c>
      <c r="E119" s="916">
        <v>0</v>
      </c>
      <c r="F119" s="916">
        <v>0</v>
      </c>
      <c r="G119" s="916">
        <v>0</v>
      </c>
      <c r="H119" s="916">
        <v>0</v>
      </c>
      <c r="I119" s="916">
        <v>0</v>
      </c>
      <c r="J119" s="916">
        <v>0</v>
      </c>
      <c r="K119" s="916">
        <v>0</v>
      </c>
      <c r="L119" s="916">
        <f t="shared" si="19"/>
        <v>0</v>
      </c>
    </row>
    <row r="120" spans="1:12" hidden="1" x14ac:dyDescent="0.2">
      <c r="A120" s="2">
        <v>4100</v>
      </c>
      <c r="B120" t="s">
        <v>163</v>
      </c>
      <c r="C120" s="916">
        <v>0</v>
      </c>
      <c r="D120" s="916">
        <v>0</v>
      </c>
      <c r="E120" s="916">
        <v>0</v>
      </c>
      <c r="F120" s="916">
        <v>0</v>
      </c>
      <c r="G120" s="916">
        <v>0</v>
      </c>
      <c r="H120" s="916">
        <v>0</v>
      </c>
      <c r="I120" s="916">
        <v>0</v>
      </c>
      <c r="J120" s="916">
        <v>0</v>
      </c>
      <c r="K120" s="916">
        <v>0</v>
      </c>
      <c r="L120" s="916">
        <f t="shared" si="19"/>
        <v>0</v>
      </c>
    </row>
    <row r="121" spans="1:12" x14ac:dyDescent="0.2">
      <c r="A121" s="2">
        <v>4200</v>
      </c>
      <c r="B121" t="s">
        <v>165</v>
      </c>
      <c r="C121" s="916">
        <v>0</v>
      </c>
      <c r="D121" s="916">
        <v>0</v>
      </c>
      <c r="E121" s="916">
        <v>190000</v>
      </c>
      <c r="F121" s="916">
        <v>0</v>
      </c>
      <c r="G121" s="916">
        <v>0</v>
      </c>
      <c r="H121" s="916">
        <v>0</v>
      </c>
      <c r="I121" s="916">
        <v>0</v>
      </c>
      <c r="J121" s="916">
        <v>0</v>
      </c>
      <c r="K121" s="916">
        <v>0</v>
      </c>
      <c r="L121" s="916">
        <f t="shared" si="19"/>
        <v>190000</v>
      </c>
    </row>
    <row r="122" spans="1:12" hidden="1" x14ac:dyDescent="0.2">
      <c r="A122" s="2">
        <v>4300</v>
      </c>
      <c r="B122" t="s">
        <v>166</v>
      </c>
      <c r="C122" s="916">
        <v>0</v>
      </c>
      <c r="D122" s="916">
        <v>0</v>
      </c>
      <c r="E122" s="916">
        <v>0</v>
      </c>
      <c r="F122" s="916">
        <v>0</v>
      </c>
      <c r="G122" s="916">
        <v>0</v>
      </c>
      <c r="H122" s="916">
        <v>0</v>
      </c>
      <c r="I122" s="916">
        <v>0</v>
      </c>
      <c r="J122" s="916">
        <v>0</v>
      </c>
      <c r="K122" s="916">
        <v>0</v>
      </c>
      <c r="L122" s="916">
        <f t="shared" si="19"/>
        <v>0</v>
      </c>
    </row>
    <row r="123" spans="1:12" hidden="1" x14ac:dyDescent="0.2">
      <c r="A123" s="2">
        <v>4400</v>
      </c>
      <c r="B123" t="s">
        <v>167</v>
      </c>
      <c r="C123" s="916">
        <v>0</v>
      </c>
      <c r="D123" s="916">
        <v>0</v>
      </c>
      <c r="E123" s="916">
        <v>0</v>
      </c>
      <c r="F123" s="916">
        <v>0</v>
      </c>
      <c r="G123" s="916">
        <v>0</v>
      </c>
      <c r="H123" s="916">
        <v>0</v>
      </c>
      <c r="I123" s="916">
        <v>0</v>
      </c>
      <c r="J123" s="916">
        <v>0</v>
      </c>
      <c r="K123" s="916">
        <v>0</v>
      </c>
      <c r="L123" s="916">
        <f t="shared" si="19"/>
        <v>0</v>
      </c>
    </row>
    <row r="124" spans="1:12" hidden="1" x14ac:dyDescent="0.2">
      <c r="A124" s="2">
        <v>4500</v>
      </c>
      <c r="B124" t="s">
        <v>168</v>
      </c>
      <c r="C124" s="916">
        <v>0</v>
      </c>
      <c r="D124" s="916">
        <v>0</v>
      </c>
      <c r="E124" s="916">
        <v>0</v>
      </c>
      <c r="F124" s="916">
        <v>0</v>
      </c>
      <c r="G124" s="916">
        <v>0</v>
      </c>
      <c r="H124" s="916">
        <v>0</v>
      </c>
      <c r="I124" s="916">
        <v>0</v>
      </c>
      <c r="J124" s="916">
        <v>0</v>
      </c>
      <c r="K124" s="916">
        <v>0</v>
      </c>
      <c r="L124" s="916">
        <f t="shared" si="19"/>
        <v>0</v>
      </c>
    </row>
    <row r="125" spans="1:12" x14ac:dyDescent="0.2">
      <c r="A125" s="2">
        <v>4600</v>
      </c>
      <c r="B125" t="s">
        <v>169</v>
      </c>
      <c r="C125" s="916">
        <v>0</v>
      </c>
      <c r="D125" s="916">
        <v>0</v>
      </c>
      <c r="E125" s="916">
        <v>0</v>
      </c>
      <c r="F125" s="916">
        <v>0</v>
      </c>
      <c r="G125" s="916">
        <v>0</v>
      </c>
      <c r="H125" s="916">
        <v>250646</v>
      </c>
      <c r="I125" s="916">
        <v>0</v>
      </c>
      <c r="J125" s="916">
        <v>0</v>
      </c>
      <c r="K125" s="916">
        <v>0</v>
      </c>
      <c r="L125" s="916">
        <f t="shared" si="19"/>
        <v>250646</v>
      </c>
    </row>
    <row r="126" spans="1:12" x14ac:dyDescent="0.2">
      <c r="A126" s="2">
        <v>4700</v>
      </c>
      <c r="B126" t="s">
        <v>170</v>
      </c>
      <c r="C126" s="916">
        <v>0</v>
      </c>
      <c r="D126" s="916">
        <v>0</v>
      </c>
      <c r="E126" s="916">
        <v>321941</v>
      </c>
      <c r="F126" s="916">
        <v>0</v>
      </c>
      <c r="G126" s="916">
        <v>0</v>
      </c>
      <c r="H126" s="916">
        <v>0</v>
      </c>
      <c r="I126" s="916">
        <v>0</v>
      </c>
      <c r="J126" s="916">
        <v>0</v>
      </c>
      <c r="K126" s="916">
        <v>0</v>
      </c>
      <c r="L126" s="916">
        <f t="shared" si="19"/>
        <v>321941</v>
      </c>
    </row>
    <row r="127" spans="1:12" hidden="1" x14ac:dyDescent="0.2">
      <c r="A127" s="2">
        <v>4900</v>
      </c>
      <c r="B127" t="s">
        <v>171</v>
      </c>
      <c r="C127" s="916">
        <v>0</v>
      </c>
      <c r="D127" s="916">
        <v>0</v>
      </c>
      <c r="E127" s="916">
        <v>0</v>
      </c>
      <c r="F127" s="916">
        <v>0</v>
      </c>
      <c r="G127" s="916">
        <v>0</v>
      </c>
      <c r="H127" s="916">
        <v>0</v>
      </c>
      <c r="I127" s="916">
        <v>0</v>
      </c>
      <c r="J127" s="916">
        <v>0</v>
      </c>
      <c r="K127" s="916">
        <v>0</v>
      </c>
      <c r="L127" s="916">
        <f t="shared" si="19"/>
        <v>0</v>
      </c>
    </row>
    <row r="128" spans="1:12" hidden="1" x14ac:dyDescent="0.2">
      <c r="A128" s="2">
        <v>5000</v>
      </c>
      <c r="B128" t="s">
        <v>172</v>
      </c>
      <c r="C128" s="916">
        <v>0</v>
      </c>
      <c r="D128" s="916">
        <v>0</v>
      </c>
      <c r="E128" s="916">
        <v>0</v>
      </c>
      <c r="F128" s="916">
        <v>0</v>
      </c>
      <c r="G128" s="916">
        <v>0</v>
      </c>
      <c r="H128" s="916">
        <v>0</v>
      </c>
      <c r="I128" s="916">
        <v>0</v>
      </c>
      <c r="J128" s="916">
        <v>0</v>
      </c>
      <c r="K128" s="916">
        <v>0</v>
      </c>
      <c r="L128" s="916">
        <f t="shared" si="19"/>
        <v>0</v>
      </c>
    </row>
    <row r="129" spans="1:12" x14ac:dyDescent="0.2">
      <c r="A129" s="2">
        <v>5000</v>
      </c>
      <c r="B129" t="s">
        <v>173</v>
      </c>
      <c r="C129" s="916">
        <v>0</v>
      </c>
      <c r="D129" s="916">
        <v>1733761</v>
      </c>
      <c r="E129" s="916">
        <v>0</v>
      </c>
      <c r="F129" s="916">
        <v>0</v>
      </c>
      <c r="G129" s="916">
        <v>0</v>
      </c>
      <c r="H129" s="916">
        <v>0</v>
      </c>
      <c r="I129" s="916">
        <v>0</v>
      </c>
      <c r="J129" s="916">
        <v>0</v>
      </c>
      <c r="K129" s="916">
        <v>0</v>
      </c>
      <c r="L129" s="916">
        <f t="shared" si="19"/>
        <v>1733761</v>
      </c>
    </row>
    <row r="130" spans="1:12" x14ac:dyDescent="0.2">
      <c r="A130" s="2">
        <v>6000</v>
      </c>
      <c r="B130" s="3" t="s">
        <v>744</v>
      </c>
      <c r="C130" s="916">
        <v>0</v>
      </c>
      <c r="D130" s="916">
        <v>0</v>
      </c>
      <c r="E130" s="916">
        <v>0</v>
      </c>
      <c r="F130" s="916">
        <v>0</v>
      </c>
      <c r="G130" s="916">
        <v>0</v>
      </c>
      <c r="H130" s="916">
        <v>0</v>
      </c>
      <c r="I130" s="916">
        <v>0</v>
      </c>
      <c r="J130" s="916">
        <v>35567</v>
      </c>
      <c r="K130" s="916">
        <v>0</v>
      </c>
      <c r="L130" s="916">
        <f t="shared" si="19"/>
        <v>35567</v>
      </c>
    </row>
    <row r="131" spans="1:12" hidden="1" x14ac:dyDescent="0.2">
      <c r="A131" s="2">
        <v>6100</v>
      </c>
      <c r="B131" t="s">
        <v>174</v>
      </c>
      <c r="C131" s="916">
        <v>0</v>
      </c>
      <c r="D131" s="916">
        <v>0</v>
      </c>
      <c r="E131" s="916">
        <v>0</v>
      </c>
      <c r="F131" s="916">
        <v>0</v>
      </c>
      <c r="G131" s="916">
        <v>0</v>
      </c>
      <c r="H131" s="916">
        <v>0</v>
      </c>
      <c r="I131" s="916">
        <v>0</v>
      </c>
      <c r="J131" s="916">
        <v>0</v>
      </c>
      <c r="K131" s="916">
        <v>0</v>
      </c>
      <c r="L131" s="916">
        <f t="shared" si="19"/>
        <v>0</v>
      </c>
    </row>
    <row r="132" spans="1:12" x14ac:dyDescent="0.2">
      <c r="A132" s="2">
        <v>6200</v>
      </c>
      <c r="B132" t="s">
        <v>175</v>
      </c>
      <c r="C132" s="916">
        <v>214772</v>
      </c>
      <c r="D132" s="916">
        <v>0</v>
      </c>
      <c r="E132" s="916">
        <v>0</v>
      </c>
      <c r="F132" s="916">
        <v>0</v>
      </c>
      <c r="G132" s="916">
        <v>0</v>
      </c>
      <c r="H132" s="916">
        <v>0</v>
      </c>
      <c r="I132" s="916">
        <v>0</v>
      </c>
      <c r="J132" s="916">
        <v>0</v>
      </c>
      <c r="K132" s="916">
        <v>0</v>
      </c>
      <c r="L132" s="916">
        <f t="shared" si="19"/>
        <v>214772</v>
      </c>
    </row>
    <row r="133" spans="1:12" x14ac:dyDescent="0.2">
      <c r="A133" s="2">
        <v>6300</v>
      </c>
      <c r="B133" t="s">
        <v>176</v>
      </c>
      <c r="C133" s="916">
        <v>555715</v>
      </c>
      <c r="D133" s="916">
        <v>0</v>
      </c>
      <c r="E133" s="916">
        <v>0</v>
      </c>
      <c r="F133" s="916">
        <v>0</v>
      </c>
      <c r="G133" s="916">
        <v>0</v>
      </c>
      <c r="H133" s="916">
        <v>0</v>
      </c>
      <c r="I133" s="916">
        <v>0</v>
      </c>
      <c r="J133" s="916">
        <v>0</v>
      </c>
      <c r="K133" s="916">
        <v>0</v>
      </c>
      <c r="L133" s="916">
        <f t="shared" si="19"/>
        <v>555715</v>
      </c>
    </row>
    <row r="134" spans="1:12" x14ac:dyDescent="0.2">
      <c r="A134" s="2">
        <v>8000</v>
      </c>
      <c r="B134" t="s">
        <v>177</v>
      </c>
      <c r="C134" s="916">
        <v>6884569</v>
      </c>
      <c r="D134" s="916">
        <v>0</v>
      </c>
      <c r="E134" s="916">
        <v>0</v>
      </c>
      <c r="F134" s="916">
        <v>97159</v>
      </c>
      <c r="G134" s="916">
        <v>0</v>
      </c>
      <c r="H134" s="916">
        <v>0</v>
      </c>
      <c r="I134" s="916">
        <v>0</v>
      </c>
      <c r="J134" s="916">
        <v>0</v>
      </c>
      <c r="K134" s="916">
        <v>0</v>
      </c>
      <c r="L134" s="916">
        <f t="shared" si="19"/>
        <v>6981728</v>
      </c>
    </row>
    <row r="135" spans="1:12" x14ac:dyDescent="0.2">
      <c r="C135" s="916"/>
      <c r="D135" s="916"/>
      <c r="E135" s="916"/>
      <c r="F135" s="916"/>
      <c r="G135" s="916"/>
      <c r="H135" s="916"/>
      <c r="I135" s="916"/>
      <c r="J135" s="916"/>
      <c r="K135" s="916"/>
      <c r="L135" s="916"/>
    </row>
    <row r="136" spans="1:12" s="2" customFormat="1" x14ac:dyDescent="0.2">
      <c r="A136" s="53"/>
      <c r="B136" s="2" t="s">
        <v>308</v>
      </c>
      <c r="C136" s="931"/>
      <c r="D136" s="931"/>
      <c r="E136" s="931"/>
      <c r="F136" s="931"/>
      <c r="G136" s="931"/>
      <c r="H136" s="931"/>
      <c r="I136" s="931"/>
      <c r="J136" s="931"/>
      <c r="K136" s="931"/>
      <c r="L136" s="931"/>
    </row>
    <row r="137" spans="1:12" hidden="1" x14ac:dyDescent="0.2">
      <c r="B137" t="s">
        <v>179</v>
      </c>
      <c r="C137" s="916">
        <v>0</v>
      </c>
      <c r="D137" s="916">
        <v>0</v>
      </c>
      <c r="E137" s="916">
        <v>0</v>
      </c>
      <c r="F137" s="916">
        <v>0</v>
      </c>
      <c r="G137" s="916">
        <v>0</v>
      </c>
      <c r="H137" s="916">
        <v>0</v>
      </c>
      <c r="I137" s="916">
        <v>0</v>
      </c>
      <c r="J137" s="916">
        <v>0</v>
      </c>
      <c r="K137" s="916">
        <v>0</v>
      </c>
      <c r="L137" s="916">
        <f t="shared" ref="L137:L200" si="20">SUM(C137:K137)</f>
        <v>0</v>
      </c>
    </row>
    <row r="138" spans="1:12" hidden="1" x14ac:dyDescent="0.2">
      <c r="B138" t="s">
        <v>145</v>
      </c>
      <c r="C138" s="916">
        <v>0</v>
      </c>
      <c r="D138" s="916">
        <v>0</v>
      </c>
      <c r="E138" s="916">
        <v>0</v>
      </c>
      <c r="F138" s="916">
        <v>0</v>
      </c>
      <c r="G138" s="916">
        <v>0</v>
      </c>
      <c r="H138" s="916">
        <v>0</v>
      </c>
      <c r="I138" s="916">
        <v>0</v>
      </c>
      <c r="J138" s="916">
        <v>0</v>
      </c>
      <c r="K138" s="916">
        <v>0</v>
      </c>
      <c r="L138" s="916">
        <f t="shared" si="20"/>
        <v>0</v>
      </c>
    </row>
    <row r="139" spans="1:12" hidden="1" x14ac:dyDescent="0.2">
      <c r="B139" t="s">
        <v>180</v>
      </c>
      <c r="C139" s="916">
        <v>0</v>
      </c>
      <c r="D139" s="916">
        <v>0</v>
      </c>
      <c r="E139" s="916">
        <v>0</v>
      </c>
      <c r="F139" s="916">
        <v>0</v>
      </c>
      <c r="G139" s="916">
        <v>0</v>
      </c>
      <c r="H139" s="916">
        <v>0</v>
      </c>
      <c r="I139" s="916">
        <v>0</v>
      </c>
      <c r="J139" s="916">
        <v>0</v>
      </c>
      <c r="K139" s="916">
        <v>0</v>
      </c>
      <c r="L139" s="916">
        <f t="shared" si="20"/>
        <v>0</v>
      </c>
    </row>
    <row r="140" spans="1:12" hidden="1" x14ac:dyDescent="0.2">
      <c r="B140" t="s">
        <v>181</v>
      </c>
      <c r="C140" s="916">
        <v>0</v>
      </c>
      <c r="D140" s="916">
        <v>0</v>
      </c>
      <c r="E140" s="916">
        <v>0</v>
      </c>
      <c r="F140" s="916">
        <v>0</v>
      </c>
      <c r="G140" s="916">
        <v>0</v>
      </c>
      <c r="H140" s="916">
        <v>0</v>
      </c>
      <c r="I140" s="916">
        <v>0</v>
      </c>
      <c r="J140" s="916">
        <v>0</v>
      </c>
      <c r="K140" s="916">
        <v>0</v>
      </c>
      <c r="L140" s="916">
        <f t="shared" si="20"/>
        <v>0</v>
      </c>
    </row>
    <row r="141" spans="1:12" hidden="1" x14ac:dyDescent="0.2">
      <c r="B141" t="s">
        <v>182</v>
      </c>
      <c r="C141" s="916">
        <v>0</v>
      </c>
      <c r="D141" s="916">
        <v>0</v>
      </c>
      <c r="E141" s="916">
        <v>0</v>
      </c>
      <c r="F141" s="916">
        <v>0</v>
      </c>
      <c r="G141" s="916">
        <v>0</v>
      </c>
      <c r="H141" s="916">
        <v>0</v>
      </c>
      <c r="I141" s="916">
        <v>0</v>
      </c>
      <c r="J141" s="916">
        <v>0</v>
      </c>
      <c r="K141" s="916">
        <v>0</v>
      </c>
      <c r="L141" s="916">
        <f t="shared" si="20"/>
        <v>0</v>
      </c>
    </row>
    <row r="142" spans="1:12" hidden="1" x14ac:dyDescent="0.2">
      <c r="B142" t="s">
        <v>183</v>
      </c>
      <c r="C142" s="916">
        <v>0</v>
      </c>
      <c r="D142" s="916">
        <v>0</v>
      </c>
      <c r="E142" s="916">
        <v>0</v>
      </c>
      <c r="F142" s="916">
        <v>0</v>
      </c>
      <c r="G142" s="916">
        <v>0</v>
      </c>
      <c r="H142" s="916">
        <v>0</v>
      </c>
      <c r="I142" s="916">
        <v>0</v>
      </c>
      <c r="J142" s="916">
        <v>0</v>
      </c>
      <c r="K142" s="916">
        <v>0</v>
      </c>
      <c r="L142" s="916">
        <f t="shared" si="20"/>
        <v>0</v>
      </c>
    </row>
    <row r="143" spans="1:12" hidden="1" x14ac:dyDescent="0.2">
      <c r="B143" t="s">
        <v>184</v>
      </c>
      <c r="C143" s="916">
        <v>0</v>
      </c>
      <c r="D143" s="916">
        <v>0</v>
      </c>
      <c r="E143" s="916">
        <v>0</v>
      </c>
      <c r="F143" s="916">
        <v>0</v>
      </c>
      <c r="G143" s="916">
        <v>0</v>
      </c>
      <c r="H143" s="916">
        <v>0</v>
      </c>
      <c r="I143" s="916">
        <v>0</v>
      </c>
      <c r="J143" s="916">
        <v>0</v>
      </c>
      <c r="K143" s="916">
        <v>0</v>
      </c>
      <c r="L143" s="916">
        <f t="shared" si="20"/>
        <v>0</v>
      </c>
    </row>
    <row r="144" spans="1:12" hidden="1" x14ac:dyDescent="0.2">
      <c r="B144" t="s">
        <v>185</v>
      </c>
      <c r="C144" s="916">
        <v>0</v>
      </c>
      <c r="D144" s="916">
        <v>0</v>
      </c>
      <c r="E144" s="916">
        <v>0</v>
      </c>
      <c r="F144" s="916">
        <v>0</v>
      </c>
      <c r="G144" s="916">
        <v>0</v>
      </c>
      <c r="H144" s="916">
        <v>0</v>
      </c>
      <c r="I144" s="916">
        <v>0</v>
      </c>
      <c r="J144" s="916">
        <v>0</v>
      </c>
      <c r="K144" s="916">
        <v>0</v>
      </c>
      <c r="L144" s="916">
        <f t="shared" si="20"/>
        <v>0</v>
      </c>
    </row>
    <row r="145" spans="2:12" hidden="1" x14ac:dyDescent="0.2">
      <c r="B145" t="s">
        <v>186</v>
      </c>
      <c r="C145" s="916">
        <v>0</v>
      </c>
      <c r="D145" s="916">
        <v>0</v>
      </c>
      <c r="E145" s="916">
        <v>0</v>
      </c>
      <c r="F145" s="916">
        <v>0</v>
      </c>
      <c r="G145" s="916">
        <v>0</v>
      </c>
      <c r="H145" s="916">
        <v>0</v>
      </c>
      <c r="I145" s="916">
        <v>0</v>
      </c>
      <c r="J145" s="916">
        <v>0</v>
      </c>
      <c r="K145" s="916">
        <v>0</v>
      </c>
      <c r="L145" s="916">
        <f t="shared" si="20"/>
        <v>0</v>
      </c>
    </row>
    <row r="146" spans="2:12" hidden="1" x14ac:dyDescent="0.2">
      <c r="B146" t="s">
        <v>187</v>
      </c>
      <c r="C146" s="916">
        <v>0</v>
      </c>
      <c r="D146" s="916">
        <v>0</v>
      </c>
      <c r="E146" s="916">
        <v>0</v>
      </c>
      <c r="F146" s="916">
        <v>0</v>
      </c>
      <c r="G146" s="916">
        <v>0</v>
      </c>
      <c r="H146" s="916">
        <v>0</v>
      </c>
      <c r="I146" s="916">
        <v>0</v>
      </c>
      <c r="J146" s="916">
        <v>0</v>
      </c>
      <c r="K146" s="916">
        <v>0</v>
      </c>
      <c r="L146" s="916">
        <f t="shared" si="20"/>
        <v>0</v>
      </c>
    </row>
    <row r="147" spans="2:12" hidden="1" x14ac:dyDescent="0.2">
      <c r="B147" t="s">
        <v>188</v>
      </c>
      <c r="C147" s="916">
        <v>0</v>
      </c>
      <c r="D147" s="916">
        <v>0</v>
      </c>
      <c r="E147" s="916">
        <v>0</v>
      </c>
      <c r="F147" s="916">
        <v>0</v>
      </c>
      <c r="G147" s="916">
        <v>0</v>
      </c>
      <c r="H147" s="916">
        <v>0</v>
      </c>
      <c r="I147" s="916">
        <v>0</v>
      </c>
      <c r="J147" s="916">
        <v>0</v>
      </c>
      <c r="K147" s="916">
        <v>0</v>
      </c>
      <c r="L147" s="916">
        <f t="shared" si="20"/>
        <v>0</v>
      </c>
    </row>
    <row r="148" spans="2:12" hidden="1" x14ac:dyDescent="0.2">
      <c r="B148" t="s">
        <v>189</v>
      </c>
      <c r="C148" s="916">
        <v>0</v>
      </c>
      <c r="D148" s="916">
        <v>0</v>
      </c>
      <c r="E148" s="916">
        <v>0</v>
      </c>
      <c r="F148" s="916">
        <v>0</v>
      </c>
      <c r="G148" s="916">
        <v>0</v>
      </c>
      <c r="H148" s="916">
        <v>0</v>
      </c>
      <c r="I148" s="916">
        <v>0</v>
      </c>
      <c r="J148" s="916">
        <v>0</v>
      </c>
      <c r="K148" s="916">
        <v>0</v>
      </c>
      <c r="L148" s="916">
        <f t="shared" si="20"/>
        <v>0</v>
      </c>
    </row>
    <row r="149" spans="2:12" hidden="1" x14ac:dyDescent="0.2">
      <c r="B149" t="s">
        <v>190</v>
      </c>
      <c r="C149" s="916">
        <v>0</v>
      </c>
      <c r="D149" s="916">
        <v>0</v>
      </c>
      <c r="E149" s="916">
        <v>0</v>
      </c>
      <c r="F149" s="916">
        <v>0</v>
      </c>
      <c r="G149" s="916">
        <v>0</v>
      </c>
      <c r="H149" s="916">
        <v>0</v>
      </c>
      <c r="I149" s="916">
        <v>0</v>
      </c>
      <c r="J149" s="916">
        <v>0</v>
      </c>
      <c r="K149" s="916">
        <v>0</v>
      </c>
      <c r="L149" s="916">
        <f t="shared" si="20"/>
        <v>0</v>
      </c>
    </row>
    <row r="150" spans="2:12" hidden="1" x14ac:dyDescent="0.2">
      <c r="B150" t="s">
        <v>191</v>
      </c>
      <c r="C150" s="916">
        <v>0</v>
      </c>
      <c r="D150" s="916">
        <v>0</v>
      </c>
      <c r="E150" s="916">
        <v>0</v>
      </c>
      <c r="F150" s="916">
        <v>0</v>
      </c>
      <c r="G150" s="916">
        <v>0</v>
      </c>
      <c r="H150" s="916">
        <v>0</v>
      </c>
      <c r="I150" s="916">
        <v>0</v>
      </c>
      <c r="J150" s="916">
        <v>0</v>
      </c>
      <c r="K150" s="916">
        <v>0</v>
      </c>
      <c r="L150" s="916">
        <f t="shared" si="20"/>
        <v>0</v>
      </c>
    </row>
    <row r="151" spans="2:12" hidden="1" x14ac:dyDescent="0.2">
      <c r="B151" t="s">
        <v>192</v>
      </c>
      <c r="C151" s="916">
        <v>0</v>
      </c>
      <c r="D151" s="916">
        <v>0</v>
      </c>
      <c r="E151" s="916">
        <v>0</v>
      </c>
      <c r="F151" s="916">
        <v>0</v>
      </c>
      <c r="G151" s="916">
        <v>0</v>
      </c>
      <c r="H151" s="916">
        <v>0</v>
      </c>
      <c r="I151" s="916">
        <v>0</v>
      </c>
      <c r="J151" s="916">
        <v>0</v>
      </c>
      <c r="K151" s="916">
        <v>0</v>
      </c>
      <c r="L151" s="916">
        <f t="shared" si="20"/>
        <v>0</v>
      </c>
    </row>
    <row r="152" spans="2:12" hidden="1" x14ac:dyDescent="0.2">
      <c r="B152" t="s">
        <v>193</v>
      </c>
      <c r="C152" s="916">
        <v>0</v>
      </c>
      <c r="D152" s="916">
        <v>0</v>
      </c>
      <c r="E152" s="916">
        <v>0</v>
      </c>
      <c r="F152" s="916">
        <v>0</v>
      </c>
      <c r="G152" s="916">
        <v>0</v>
      </c>
      <c r="H152" s="916">
        <v>0</v>
      </c>
      <c r="I152" s="916">
        <v>0</v>
      </c>
      <c r="J152" s="916">
        <v>0</v>
      </c>
      <c r="K152" s="916">
        <v>0</v>
      </c>
      <c r="L152" s="916">
        <f t="shared" si="20"/>
        <v>0</v>
      </c>
    </row>
    <row r="153" spans="2:12" hidden="1" x14ac:dyDescent="0.2">
      <c r="B153" t="s">
        <v>194</v>
      </c>
      <c r="C153" s="916">
        <v>0</v>
      </c>
      <c r="D153" s="916">
        <v>0</v>
      </c>
      <c r="E153" s="916">
        <v>0</v>
      </c>
      <c r="F153" s="916">
        <v>0</v>
      </c>
      <c r="G153" s="916">
        <v>0</v>
      </c>
      <c r="H153" s="916">
        <v>0</v>
      </c>
      <c r="I153" s="916">
        <v>0</v>
      </c>
      <c r="J153" s="916">
        <v>0</v>
      </c>
      <c r="K153" s="916">
        <v>0</v>
      </c>
      <c r="L153" s="916">
        <f t="shared" si="20"/>
        <v>0</v>
      </c>
    </row>
    <row r="154" spans="2:12" hidden="1" x14ac:dyDescent="0.2">
      <c r="B154" t="s">
        <v>195</v>
      </c>
      <c r="C154" s="916">
        <v>0</v>
      </c>
      <c r="D154" s="916">
        <v>0</v>
      </c>
      <c r="E154" s="916">
        <v>0</v>
      </c>
      <c r="F154" s="916">
        <v>0</v>
      </c>
      <c r="G154" s="916">
        <v>0</v>
      </c>
      <c r="H154" s="916">
        <v>0</v>
      </c>
      <c r="I154" s="916">
        <v>0</v>
      </c>
      <c r="J154" s="916">
        <v>0</v>
      </c>
      <c r="K154" s="916">
        <v>0</v>
      </c>
      <c r="L154" s="916">
        <f t="shared" si="20"/>
        <v>0</v>
      </c>
    </row>
    <row r="155" spans="2:12" hidden="1" x14ac:dyDescent="0.2">
      <c r="B155" t="s">
        <v>196</v>
      </c>
      <c r="C155" s="916">
        <v>0</v>
      </c>
      <c r="D155" s="916">
        <v>0</v>
      </c>
      <c r="E155" s="916">
        <v>0</v>
      </c>
      <c r="F155" s="916">
        <v>0</v>
      </c>
      <c r="G155" s="916">
        <v>0</v>
      </c>
      <c r="H155" s="916">
        <v>0</v>
      </c>
      <c r="I155" s="916">
        <v>0</v>
      </c>
      <c r="J155" s="916">
        <v>0</v>
      </c>
      <c r="K155" s="916">
        <v>0</v>
      </c>
      <c r="L155" s="916">
        <f t="shared" si="20"/>
        <v>0</v>
      </c>
    </row>
    <row r="156" spans="2:12" hidden="1" x14ac:dyDescent="0.2">
      <c r="B156" t="s">
        <v>197</v>
      </c>
      <c r="C156" s="916">
        <v>0</v>
      </c>
      <c r="D156" s="916">
        <v>0</v>
      </c>
      <c r="E156" s="916">
        <v>0</v>
      </c>
      <c r="F156" s="916">
        <v>0</v>
      </c>
      <c r="G156" s="916">
        <v>0</v>
      </c>
      <c r="H156" s="916">
        <v>0</v>
      </c>
      <c r="I156" s="916">
        <v>0</v>
      </c>
      <c r="J156" s="916">
        <v>0</v>
      </c>
      <c r="K156" s="916">
        <v>0</v>
      </c>
      <c r="L156" s="916">
        <f t="shared" si="20"/>
        <v>0</v>
      </c>
    </row>
    <row r="157" spans="2:12" hidden="1" x14ac:dyDescent="0.2">
      <c r="B157" t="s">
        <v>198</v>
      </c>
      <c r="C157" s="916">
        <v>0</v>
      </c>
      <c r="D157" s="916">
        <v>0</v>
      </c>
      <c r="E157" s="916">
        <v>0</v>
      </c>
      <c r="F157" s="916">
        <v>0</v>
      </c>
      <c r="G157" s="916">
        <v>0</v>
      </c>
      <c r="H157" s="916">
        <v>0</v>
      </c>
      <c r="I157" s="916">
        <v>0</v>
      </c>
      <c r="J157" s="916">
        <v>0</v>
      </c>
      <c r="K157" s="916">
        <v>0</v>
      </c>
      <c r="L157" s="916">
        <f t="shared" si="20"/>
        <v>0</v>
      </c>
    </row>
    <row r="158" spans="2:12" hidden="1" x14ac:dyDescent="0.2">
      <c r="B158" t="s">
        <v>199</v>
      </c>
      <c r="C158" s="916">
        <v>0</v>
      </c>
      <c r="D158" s="916">
        <v>0</v>
      </c>
      <c r="E158" s="916">
        <v>0</v>
      </c>
      <c r="F158" s="916">
        <v>0</v>
      </c>
      <c r="G158" s="916">
        <v>0</v>
      </c>
      <c r="H158" s="916">
        <v>0</v>
      </c>
      <c r="I158" s="916">
        <v>0</v>
      </c>
      <c r="J158" s="916">
        <v>0</v>
      </c>
      <c r="K158" s="916">
        <v>0</v>
      </c>
      <c r="L158" s="916">
        <f t="shared" si="20"/>
        <v>0</v>
      </c>
    </row>
    <row r="159" spans="2:12" hidden="1" x14ac:dyDescent="0.2">
      <c r="B159" t="s">
        <v>200</v>
      </c>
      <c r="C159" s="916">
        <v>0</v>
      </c>
      <c r="D159" s="916">
        <v>0</v>
      </c>
      <c r="E159" s="916">
        <v>0</v>
      </c>
      <c r="F159" s="916">
        <v>0</v>
      </c>
      <c r="G159" s="916">
        <v>0</v>
      </c>
      <c r="H159" s="916">
        <v>0</v>
      </c>
      <c r="I159" s="916">
        <v>0</v>
      </c>
      <c r="J159" s="916">
        <v>0</v>
      </c>
      <c r="K159" s="916">
        <v>0</v>
      </c>
      <c r="L159" s="916">
        <f t="shared" si="20"/>
        <v>0</v>
      </c>
    </row>
    <row r="160" spans="2:12" hidden="1" x14ac:dyDescent="0.2">
      <c r="B160" t="s">
        <v>201</v>
      </c>
      <c r="C160" s="916">
        <v>0</v>
      </c>
      <c r="D160" s="916">
        <v>0</v>
      </c>
      <c r="E160" s="916">
        <v>0</v>
      </c>
      <c r="F160" s="916">
        <v>0</v>
      </c>
      <c r="G160" s="916">
        <v>0</v>
      </c>
      <c r="H160" s="916">
        <v>0</v>
      </c>
      <c r="I160" s="916">
        <v>0</v>
      </c>
      <c r="J160" s="916">
        <v>0</v>
      </c>
      <c r="K160" s="916">
        <v>0</v>
      </c>
      <c r="L160" s="916">
        <f t="shared" si="20"/>
        <v>0</v>
      </c>
    </row>
    <row r="161" spans="2:12" hidden="1" x14ac:dyDescent="0.2">
      <c r="B161" t="s">
        <v>202</v>
      </c>
      <c r="C161" s="916">
        <v>0</v>
      </c>
      <c r="D161" s="916">
        <v>0</v>
      </c>
      <c r="E161" s="916">
        <v>0</v>
      </c>
      <c r="F161" s="916">
        <v>0</v>
      </c>
      <c r="G161" s="916">
        <v>0</v>
      </c>
      <c r="H161" s="916">
        <v>0</v>
      </c>
      <c r="I161" s="916">
        <v>0</v>
      </c>
      <c r="J161" s="916">
        <v>0</v>
      </c>
      <c r="K161" s="916">
        <v>0</v>
      </c>
      <c r="L161" s="916">
        <f t="shared" si="20"/>
        <v>0</v>
      </c>
    </row>
    <row r="162" spans="2:12" hidden="1" x14ac:dyDescent="0.2">
      <c r="B162" t="s">
        <v>203</v>
      </c>
      <c r="C162" s="916">
        <v>0</v>
      </c>
      <c r="D162" s="916">
        <v>0</v>
      </c>
      <c r="E162" s="916">
        <v>0</v>
      </c>
      <c r="F162" s="916">
        <v>0</v>
      </c>
      <c r="G162" s="916">
        <v>0</v>
      </c>
      <c r="H162" s="916">
        <v>0</v>
      </c>
      <c r="I162" s="916">
        <v>0</v>
      </c>
      <c r="J162" s="916">
        <v>0</v>
      </c>
      <c r="K162" s="916">
        <v>0</v>
      </c>
      <c r="L162" s="916">
        <f t="shared" si="20"/>
        <v>0</v>
      </c>
    </row>
    <row r="163" spans="2:12" hidden="1" x14ac:dyDescent="0.2">
      <c r="B163" t="s">
        <v>204</v>
      </c>
      <c r="C163" s="916">
        <v>0</v>
      </c>
      <c r="D163" s="916">
        <v>0</v>
      </c>
      <c r="E163" s="916">
        <v>0</v>
      </c>
      <c r="F163" s="916">
        <v>0</v>
      </c>
      <c r="G163" s="916">
        <v>0</v>
      </c>
      <c r="H163" s="916">
        <v>0</v>
      </c>
      <c r="I163" s="916">
        <v>0</v>
      </c>
      <c r="J163" s="916">
        <v>0</v>
      </c>
      <c r="K163" s="916">
        <v>0</v>
      </c>
      <c r="L163" s="916">
        <f t="shared" si="20"/>
        <v>0</v>
      </c>
    </row>
    <row r="164" spans="2:12" hidden="1" x14ac:dyDescent="0.2">
      <c r="B164" t="s">
        <v>205</v>
      </c>
      <c r="C164" s="916">
        <v>0</v>
      </c>
      <c r="D164" s="916">
        <v>0</v>
      </c>
      <c r="E164" s="916">
        <v>0</v>
      </c>
      <c r="F164" s="916">
        <v>0</v>
      </c>
      <c r="G164" s="916">
        <v>0</v>
      </c>
      <c r="H164" s="916">
        <v>0</v>
      </c>
      <c r="I164" s="916">
        <v>0</v>
      </c>
      <c r="J164" s="916">
        <v>0</v>
      </c>
      <c r="K164" s="916">
        <v>0</v>
      </c>
      <c r="L164" s="916">
        <f t="shared" si="20"/>
        <v>0</v>
      </c>
    </row>
    <row r="165" spans="2:12" x14ac:dyDescent="0.2">
      <c r="B165" t="s">
        <v>206</v>
      </c>
      <c r="C165" s="916">
        <v>0</v>
      </c>
      <c r="D165" s="916">
        <v>0</v>
      </c>
      <c r="E165" s="916">
        <v>0</v>
      </c>
      <c r="F165" s="916">
        <v>0</v>
      </c>
      <c r="G165" s="916">
        <v>0</v>
      </c>
      <c r="H165" s="916">
        <v>0</v>
      </c>
      <c r="I165" s="916">
        <v>0</v>
      </c>
      <c r="J165" s="916">
        <v>0</v>
      </c>
      <c r="K165" s="916">
        <v>-20013</v>
      </c>
      <c r="L165" s="916">
        <f t="shared" si="20"/>
        <v>-20013</v>
      </c>
    </row>
    <row r="166" spans="2:12" hidden="1" x14ac:dyDescent="0.2">
      <c r="B166" t="s">
        <v>207</v>
      </c>
      <c r="C166" s="916">
        <v>0</v>
      </c>
      <c r="D166" s="916">
        <v>0</v>
      </c>
      <c r="E166" s="916">
        <v>0</v>
      </c>
      <c r="F166" s="916">
        <v>0</v>
      </c>
      <c r="G166" s="916">
        <v>0</v>
      </c>
      <c r="H166" s="916">
        <v>0</v>
      </c>
      <c r="I166" s="916">
        <v>0</v>
      </c>
      <c r="J166" s="916">
        <v>0</v>
      </c>
      <c r="K166" s="916">
        <v>0</v>
      </c>
      <c r="L166" s="916">
        <f t="shared" si="20"/>
        <v>0</v>
      </c>
    </row>
    <row r="167" spans="2:12" hidden="1" x14ac:dyDescent="0.2">
      <c r="B167" t="s">
        <v>208</v>
      </c>
      <c r="C167" s="916">
        <v>0</v>
      </c>
      <c r="D167" s="916">
        <v>0</v>
      </c>
      <c r="E167" s="916">
        <v>0</v>
      </c>
      <c r="F167" s="916">
        <v>0</v>
      </c>
      <c r="G167" s="916">
        <v>0</v>
      </c>
      <c r="H167" s="916">
        <v>0</v>
      </c>
      <c r="I167" s="916">
        <v>0</v>
      </c>
      <c r="J167" s="916">
        <v>0</v>
      </c>
      <c r="K167" s="916">
        <v>0</v>
      </c>
      <c r="L167" s="916">
        <f t="shared" si="20"/>
        <v>0</v>
      </c>
    </row>
    <row r="168" spans="2:12" hidden="1" x14ac:dyDescent="0.2">
      <c r="B168" t="s">
        <v>209</v>
      </c>
      <c r="C168" s="916">
        <v>0</v>
      </c>
      <c r="D168" s="916">
        <v>0</v>
      </c>
      <c r="E168" s="916">
        <v>0</v>
      </c>
      <c r="F168" s="916">
        <v>0</v>
      </c>
      <c r="G168" s="916">
        <v>0</v>
      </c>
      <c r="H168" s="916">
        <v>0</v>
      </c>
      <c r="I168" s="916">
        <v>0</v>
      </c>
      <c r="J168" s="916">
        <v>0</v>
      </c>
      <c r="K168" s="916">
        <v>0</v>
      </c>
      <c r="L168" s="916">
        <f t="shared" si="20"/>
        <v>0</v>
      </c>
    </row>
    <row r="169" spans="2:12" hidden="1" x14ac:dyDescent="0.2">
      <c r="B169" t="s">
        <v>210</v>
      </c>
      <c r="C169" s="916">
        <v>0</v>
      </c>
      <c r="D169" s="916">
        <v>0</v>
      </c>
      <c r="E169" s="916">
        <v>0</v>
      </c>
      <c r="F169" s="916">
        <v>0</v>
      </c>
      <c r="G169" s="916">
        <v>0</v>
      </c>
      <c r="H169" s="916">
        <v>0</v>
      </c>
      <c r="I169" s="916">
        <v>0</v>
      </c>
      <c r="J169" s="916">
        <v>0</v>
      </c>
      <c r="K169" s="916">
        <v>0</v>
      </c>
      <c r="L169" s="916">
        <f t="shared" si="20"/>
        <v>0</v>
      </c>
    </row>
    <row r="170" spans="2:12" hidden="1" x14ac:dyDescent="0.2">
      <c r="B170" t="s">
        <v>211</v>
      </c>
      <c r="C170" s="916">
        <v>0</v>
      </c>
      <c r="D170" s="916">
        <v>0</v>
      </c>
      <c r="E170" s="916">
        <v>0</v>
      </c>
      <c r="F170" s="916">
        <v>0</v>
      </c>
      <c r="G170" s="916">
        <v>0</v>
      </c>
      <c r="H170" s="916">
        <v>0</v>
      </c>
      <c r="I170" s="916">
        <v>0</v>
      </c>
      <c r="J170" s="916">
        <v>0</v>
      </c>
      <c r="K170" s="916">
        <v>0</v>
      </c>
      <c r="L170" s="916">
        <f t="shared" si="20"/>
        <v>0</v>
      </c>
    </row>
    <row r="171" spans="2:12" hidden="1" x14ac:dyDescent="0.2">
      <c r="B171" t="s">
        <v>212</v>
      </c>
      <c r="C171" s="916">
        <v>0</v>
      </c>
      <c r="D171" s="916">
        <v>0</v>
      </c>
      <c r="E171" s="916">
        <v>0</v>
      </c>
      <c r="F171" s="916">
        <v>0</v>
      </c>
      <c r="G171" s="916">
        <v>0</v>
      </c>
      <c r="H171" s="916">
        <v>0</v>
      </c>
      <c r="I171" s="916">
        <v>0</v>
      </c>
      <c r="J171" s="916">
        <v>0</v>
      </c>
      <c r="K171" s="916">
        <v>0</v>
      </c>
      <c r="L171" s="916">
        <f t="shared" si="20"/>
        <v>0</v>
      </c>
    </row>
    <row r="172" spans="2:12" hidden="1" x14ac:dyDescent="0.2">
      <c r="B172" t="s">
        <v>213</v>
      </c>
      <c r="C172" s="916">
        <v>0</v>
      </c>
      <c r="D172" s="916">
        <v>0</v>
      </c>
      <c r="E172" s="916">
        <v>0</v>
      </c>
      <c r="F172" s="916">
        <v>0</v>
      </c>
      <c r="G172" s="916">
        <v>0</v>
      </c>
      <c r="H172" s="916">
        <v>0</v>
      </c>
      <c r="I172" s="916">
        <v>0</v>
      </c>
      <c r="J172" s="916">
        <v>0</v>
      </c>
      <c r="K172" s="916">
        <v>0</v>
      </c>
      <c r="L172" s="916">
        <f t="shared" si="20"/>
        <v>0</v>
      </c>
    </row>
    <row r="173" spans="2:12" hidden="1" x14ac:dyDescent="0.2">
      <c r="B173" t="s">
        <v>214</v>
      </c>
      <c r="C173" s="916">
        <v>0</v>
      </c>
      <c r="D173" s="916">
        <v>0</v>
      </c>
      <c r="E173" s="916">
        <v>0</v>
      </c>
      <c r="F173" s="916">
        <v>0</v>
      </c>
      <c r="G173" s="916">
        <v>0</v>
      </c>
      <c r="H173" s="916">
        <v>0</v>
      </c>
      <c r="I173" s="916">
        <v>0</v>
      </c>
      <c r="J173" s="916">
        <v>0</v>
      </c>
      <c r="K173" s="916">
        <v>0</v>
      </c>
      <c r="L173" s="916">
        <f t="shared" si="20"/>
        <v>0</v>
      </c>
    </row>
    <row r="174" spans="2:12" hidden="1" x14ac:dyDescent="0.2">
      <c r="B174" t="s">
        <v>215</v>
      </c>
      <c r="C174" s="916">
        <v>0</v>
      </c>
      <c r="D174" s="916">
        <v>0</v>
      </c>
      <c r="E174" s="916">
        <v>0</v>
      </c>
      <c r="F174" s="916">
        <v>0</v>
      </c>
      <c r="G174" s="916">
        <v>0</v>
      </c>
      <c r="H174" s="916">
        <v>0</v>
      </c>
      <c r="I174" s="916">
        <v>0</v>
      </c>
      <c r="J174" s="916">
        <v>0</v>
      </c>
      <c r="K174" s="916">
        <v>0</v>
      </c>
      <c r="L174" s="916">
        <f t="shared" si="20"/>
        <v>0</v>
      </c>
    </row>
    <row r="175" spans="2:12" hidden="1" x14ac:dyDescent="0.2">
      <c r="B175" t="s">
        <v>216</v>
      </c>
      <c r="C175" s="916">
        <v>0</v>
      </c>
      <c r="D175" s="916">
        <v>0</v>
      </c>
      <c r="E175" s="916">
        <v>0</v>
      </c>
      <c r="F175" s="916">
        <v>0</v>
      </c>
      <c r="G175" s="916">
        <v>0</v>
      </c>
      <c r="H175" s="916">
        <v>0</v>
      </c>
      <c r="I175" s="916">
        <v>0</v>
      </c>
      <c r="J175" s="916">
        <v>0</v>
      </c>
      <c r="K175" s="916">
        <v>0</v>
      </c>
      <c r="L175" s="916">
        <f t="shared" si="20"/>
        <v>0</v>
      </c>
    </row>
    <row r="176" spans="2:12" hidden="1" x14ac:dyDescent="0.2">
      <c r="B176" t="s">
        <v>217</v>
      </c>
      <c r="C176" s="916">
        <v>0</v>
      </c>
      <c r="D176" s="916">
        <v>0</v>
      </c>
      <c r="E176" s="916">
        <v>0</v>
      </c>
      <c r="F176" s="916">
        <v>0</v>
      </c>
      <c r="G176" s="916">
        <v>0</v>
      </c>
      <c r="H176" s="916">
        <v>0</v>
      </c>
      <c r="I176" s="916">
        <v>0</v>
      </c>
      <c r="J176" s="916">
        <v>0</v>
      </c>
      <c r="K176" s="916">
        <v>0</v>
      </c>
      <c r="L176" s="916">
        <f t="shared" si="20"/>
        <v>0</v>
      </c>
    </row>
    <row r="177" spans="1:12" hidden="1" x14ac:dyDescent="0.2">
      <c r="B177" t="s">
        <v>218</v>
      </c>
      <c r="C177" s="916">
        <v>0</v>
      </c>
      <c r="D177" s="916">
        <v>0</v>
      </c>
      <c r="E177" s="916">
        <v>0</v>
      </c>
      <c r="F177" s="916">
        <v>0</v>
      </c>
      <c r="G177" s="916">
        <v>0</v>
      </c>
      <c r="H177" s="916">
        <v>0</v>
      </c>
      <c r="I177" s="916">
        <v>0</v>
      </c>
      <c r="J177" s="916">
        <v>0</v>
      </c>
      <c r="K177" s="916">
        <v>0</v>
      </c>
      <c r="L177" s="916">
        <f t="shared" si="20"/>
        <v>0</v>
      </c>
    </row>
    <row r="178" spans="1:12" hidden="1" x14ac:dyDescent="0.2">
      <c r="B178" t="s">
        <v>219</v>
      </c>
      <c r="C178" s="916">
        <v>0</v>
      </c>
      <c r="D178" s="916">
        <v>0</v>
      </c>
      <c r="E178" s="916">
        <v>0</v>
      </c>
      <c r="F178" s="916">
        <v>0</v>
      </c>
      <c r="G178" s="916">
        <v>0</v>
      </c>
      <c r="H178" s="916">
        <v>0</v>
      </c>
      <c r="I178" s="916">
        <v>0</v>
      </c>
      <c r="J178" s="916">
        <v>0</v>
      </c>
      <c r="K178" s="916">
        <v>0</v>
      </c>
      <c r="L178" s="916">
        <f t="shared" si="20"/>
        <v>0</v>
      </c>
    </row>
    <row r="179" spans="1:12" hidden="1" x14ac:dyDescent="0.2">
      <c r="B179" t="s">
        <v>220</v>
      </c>
      <c r="C179" s="916">
        <v>0</v>
      </c>
      <c r="D179" s="916">
        <v>0</v>
      </c>
      <c r="E179" s="916">
        <v>0</v>
      </c>
      <c r="F179" s="916">
        <v>0</v>
      </c>
      <c r="G179" s="916">
        <v>0</v>
      </c>
      <c r="H179" s="916">
        <v>0</v>
      </c>
      <c r="I179" s="916">
        <v>0</v>
      </c>
      <c r="J179" s="916">
        <v>0</v>
      </c>
      <c r="K179" s="916">
        <v>0</v>
      </c>
      <c r="L179" s="916">
        <f t="shared" si="20"/>
        <v>0</v>
      </c>
    </row>
    <row r="180" spans="1:12" hidden="1" x14ac:dyDescent="0.2">
      <c r="B180" t="s">
        <v>221</v>
      </c>
      <c r="C180" s="916">
        <v>0</v>
      </c>
      <c r="D180" s="916">
        <v>0</v>
      </c>
      <c r="E180" s="916">
        <v>0</v>
      </c>
      <c r="F180" s="916">
        <v>0</v>
      </c>
      <c r="G180" s="916">
        <v>0</v>
      </c>
      <c r="H180" s="916">
        <v>0</v>
      </c>
      <c r="I180" s="916">
        <v>0</v>
      </c>
      <c r="J180" s="916">
        <v>0</v>
      </c>
      <c r="K180" s="916">
        <v>0</v>
      </c>
      <c r="L180" s="916">
        <f t="shared" si="20"/>
        <v>0</v>
      </c>
    </row>
    <row r="181" spans="1:12" hidden="1" x14ac:dyDescent="0.2">
      <c r="A181" s="2" t="s">
        <v>10</v>
      </c>
      <c r="B181" t="s">
        <v>142</v>
      </c>
      <c r="C181" s="916">
        <v>0</v>
      </c>
      <c r="D181" s="916">
        <v>0</v>
      </c>
      <c r="E181" s="916">
        <v>0</v>
      </c>
      <c r="F181" s="916">
        <v>0</v>
      </c>
      <c r="G181" s="916">
        <v>0</v>
      </c>
      <c r="H181" s="916">
        <v>0</v>
      </c>
      <c r="I181" s="916">
        <v>0</v>
      </c>
      <c r="J181" s="916">
        <v>0</v>
      </c>
      <c r="K181" s="916">
        <v>0</v>
      </c>
      <c r="L181" s="916">
        <f t="shared" si="20"/>
        <v>0</v>
      </c>
    </row>
    <row r="182" spans="1:12" hidden="1" x14ac:dyDescent="0.2">
      <c r="A182" s="2" t="s">
        <v>10</v>
      </c>
      <c r="B182" t="s">
        <v>141</v>
      </c>
      <c r="C182" s="916">
        <v>0</v>
      </c>
      <c r="D182" s="916">
        <v>0</v>
      </c>
      <c r="E182" s="916">
        <v>0</v>
      </c>
      <c r="F182" s="916">
        <v>0</v>
      </c>
      <c r="G182" s="916">
        <v>0</v>
      </c>
      <c r="H182" s="916">
        <v>0</v>
      </c>
      <c r="I182" s="916">
        <v>0</v>
      </c>
      <c r="J182" s="916">
        <v>0</v>
      </c>
      <c r="K182" s="916">
        <v>0</v>
      </c>
      <c r="L182" s="916">
        <f t="shared" si="20"/>
        <v>0</v>
      </c>
    </row>
    <row r="183" spans="1:12" hidden="1" x14ac:dyDescent="0.2">
      <c r="A183" s="2" t="s">
        <v>33</v>
      </c>
      <c r="B183" t="s">
        <v>222</v>
      </c>
      <c r="C183" s="916">
        <v>0</v>
      </c>
      <c r="D183" s="916">
        <v>0</v>
      </c>
      <c r="E183" s="916">
        <v>0</v>
      </c>
      <c r="F183" s="916">
        <v>0</v>
      </c>
      <c r="G183" s="916">
        <v>0</v>
      </c>
      <c r="H183" s="916">
        <v>0</v>
      </c>
      <c r="I183" s="916">
        <v>0</v>
      </c>
      <c r="J183" s="916">
        <v>0</v>
      </c>
      <c r="K183" s="916">
        <v>0</v>
      </c>
      <c r="L183" s="916">
        <f t="shared" si="20"/>
        <v>0</v>
      </c>
    </row>
    <row r="184" spans="1:12" hidden="1" x14ac:dyDescent="0.2">
      <c r="A184" s="2" t="s">
        <v>10</v>
      </c>
      <c r="B184" t="s">
        <v>138</v>
      </c>
      <c r="C184" s="916">
        <v>0</v>
      </c>
      <c r="D184" s="916">
        <v>0</v>
      </c>
      <c r="E184" s="916">
        <v>0</v>
      </c>
      <c r="F184" s="916">
        <v>0</v>
      </c>
      <c r="G184" s="916">
        <v>0</v>
      </c>
      <c r="H184" s="916">
        <v>0</v>
      </c>
      <c r="I184" s="916">
        <v>0</v>
      </c>
      <c r="J184" s="916">
        <v>0</v>
      </c>
      <c r="K184" s="916">
        <v>0</v>
      </c>
      <c r="L184" s="916">
        <f t="shared" si="20"/>
        <v>0</v>
      </c>
    </row>
    <row r="185" spans="1:12" hidden="1" x14ac:dyDescent="0.2">
      <c r="A185" s="2" t="s">
        <v>10</v>
      </c>
      <c r="B185" t="s">
        <v>136</v>
      </c>
      <c r="C185" s="916">
        <v>0</v>
      </c>
      <c r="D185" s="916">
        <v>0</v>
      </c>
      <c r="E185" s="916">
        <v>0</v>
      </c>
      <c r="F185" s="916">
        <v>0</v>
      </c>
      <c r="G185" s="916">
        <v>0</v>
      </c>
      <c r="H185" s="916">
        <v>0</v>
      </c>
      <c r="I185" s="916">
        <v>0</v>
      </c>
      <c r="J185" s="916">
        <v>0</v>
      </c>
      <c r="K185" s="916">
        <v>0</v>
      </c>
      <c r="L185" s="916">
        <f t="shared" si="20"/>
        <v>0</v>
      </c>
    </row>
    <row r="186" spans="1:12" hidden="1" x14ac:dyDescent="0.2">
      <c r="B186" t="s">
        <v>223</v>
      </c>
      <c r="C186" s="916">
        <v>0</v>
      </c>
      <c r="D186" s="916">
        <v>0</v>
      </c>
      <c r="E186" s="916">
        <v>0</v>
      </c>
      <c r="F186" s="916">
        <v>0</v>
      </c>
      <c r="G186" s="916">
        <v>0</v>
      </c>
      <c r="H186" s="916">
        <v>0</v>
      </c>
      <c r="I186" s="916">
        <v>0</v>
      </c>
      <c r="J186" s="916">
        <v>0</v>
      </c>
      <c r="K186" s="916">
        <v>0</v>
      </c>
      <c r="L186" s="916">
        <f t="shared" si="20"/>
        <v>0</v>
      </c>
    </row>
    <row r="187" spans="1:12" hidden="1" x14ac:dyDescent="0.2">
      <c r="B187" t="s">
        <v>224</v>
      </c>
      <c r="C187" s="916">
        <v>0</v>
      </c>
      <c r="D187" s="916">
        <v>0</v>
      </c>
      <c r="E187" s="916">
        <v>0</v>
      </c>
      <c r="F187" s="916">
        <v>0</v>
      </c>
      <c r="G187" s="916">
        <v>0</v>
      </c>
      <c r="H187" s="916">
        <v>0</v>
      </c>
      <c r="I187" s="916">
        <v>0</v>
      </c>
      <c r="J187" s="916">
        <v>0</v>
      </c>
      <c r="K187" s="916">
        <v>0</v>
      </c>
      <c r="L187" s="916">
        <f t="shared" si="20"/>
        <v>0</v>
      </c>
    </row>
    <row r="188" spans="1:12" hidden="1" x14ac:dyDescent="0.2">
      <c r="B188" t="s">
        <v>225</v>
      </c>
      <c r="C188" s="916">
        <v>0</v>
      </c>
      <c r="D188" s="916">
        <v>0</v>
      </c>
      <c r="E188" s="916">
        <v>0</v>
      </c>
      <c r="F188" s="916">
        <v>0</v>
      </c>
      <c r="G188" s="916">
        <v>0</v>
      </c>
      <c r="H188" s="916">
        <v>0</v>
      </c>
      <c r="I188" s="916">
        <v>0</v>
      </c>
      <c r="J188" s="916">
        <v>0</v>
      </c>
      <c r="K188" s="916">
        <v>0</v>
      </c>
      <c r="L188" s="916">
        <f t="shared" si="20"/>
        <v>0</v>
      </c>
    </row>
    <row r="189" spans="1:12" hidden="1" x14ac:dyDescent="0.2">
      <c r="B189" t="s">
        <v>226</v>
      </c>
      <c r="C189" s="916">
        <v>0</v>
      </c>
      <c r="D189" s="916">
        <v>0</v>
      </c>
      <c r="E189" s="916">
        <v>0</v>
      </c>
      <c r="F189" s="916">
        <v>0</v>
      </c>
      <c r="G189" s="916">
        <v>0</v>
      </c>
      <c r="H189" s="916">
        <v>0</v>
      </c>
      <c r="I189" s="916">
        <v>0</v>
      </c>
      <c r="J189" s="916">
        <v>0</v>
      </c>
      <c r="K189" s="916">
        <v>0</v>
      </c>
      <c r="L189" s="916">
        <f t="shared" si="20"/>
        <v>0</v>
      </c>
    </row>
    <row r="190" spans="1:12" hidden="1" x14ac:dyDescent="0.2">
      <c r="B190" t="s">
        <v>227</v>
      </c>
      <c r="C190" s="916">
        <v>0</v>
      </c>
      <c r="D190" s="916">
        <v>0</v>
      </c>
      <c r="E190" s="916">
        <v>0</v>
      </c>
      <c r="F190" s="916">
        <v>0</v>
      </c>
      <c r="G190" s="916">
        <v>0</v>
      </c>
      <c r="H190" s="916">
        <v>0</v>
      </c>
      <c r="I190" s="916">
        <v>0</v>
      </c>
      <c r="J190" s="916">
        <v>0</v>
      </c>
      <c r="K190" s="916">
        <v>0</v>
      </c>
      <c r="L190" s="916">
        <f t="shared" si="20"/>
        <v>0</v>
      </c>
    </row>
    <row r="191" spans="1:12" hidden="1" x14ac:dyDescent="0.2">
      <c r="B191" t="s">
        <v>228</v>
      </c>
      <c r="C191" s="916">
        <v>0</v>
      </c>
      <c r="D191" s="916">
        <v>0</v>
      </c>
      <c r="E191" s="916">
        <v>0</v>
      </c>
      <c r="F191" s="916">
        <v>0</v>
      </c>
      <c r="G191" s="916">
        <v>0</v>
      </c>
      <c r="H191" s="916">
        <v>0</v>
      </c>
      <c r="I191" s="916">
        <v>0</v>
      </c>
      <c r="J191" s="916">
        <v>0</v>
      </c>
      <c r="K191" s="916">
        <v>0</v>
      </c>
      <c r="L191" s="916">
        <f t="shared" si="20"/>
        <v>0</v>
      </c>
    </row>
    <row r="192" spans="1:12" hidden="1" x14ac:dyDescent="0.2">
      <c r="B192" t="s">
        <v>229</v>
      </c>
      <c r="C192" s="916">
        <v>0</v>
      </c>
      <c r="D192" s="916">
        <v>0</v>
      </c>
      <c r="E192" s="916">
        <v>0</v>
      </c>
      <c r="F192" s="916">
        <v>0</v>
      </c>
      <c r="G192" s="916">
        <v>0</v>
      </c>
      <c r="H192" s="916">
        <v>0</v>
      </c>
      <c r="I192" s="916">
        <v>0</v>
      </c>
      <c r="J192" s="916">
        <v>0</v>
      </c>
      <c r="K192" s="916">
        <v>0</v>
      </c>
      <c r="L192" s="916">
        <f t="shared" si="20"/>
        <v>0</v>
      </c>
    </row>
    <row r="193" spans="2:12" hidden="1" x14ac:dyDescent="0.2">
      <c r="B193" t="s">
        <v>230</v>
      </c>
      <c r="C193" s="916">
        <v>0</v>
      </c>
      <c r="D193" s="916">
        <v>0</v>
      </c>
      <c r="E193" s="916">
        <v>0</v>
      </c>
      <c r="F193" s="916">
        <v>0</v>
      </c>
      <c r="G193" s="916">
        <v>0</v>
      </c>
      <c r="H193" s="916">
        <v>0</v>
      </c>
      <c r="I193" s="916">
        <v>0</v>
      </c>
      <c r="J193" s="916">
        <v>0</v>
      </c>
      <c r="K193" s="916">
        <v>0</v>
      </c>
      <c r="L193" s="916">
        <f t="shared" si="20"/>
        <v>0</v>
      </c>
    </row>
    <row r="194" spans="2:12" hidden="1" x14ac:dyDescent="0.2">
      <c r="B194" t="s">
        <v>231</v>
      </c>
      <c r="C194" s="916">
        <v>0</v>
      </c>
      <c r="D194" s="916">
        <v>0</v>
      </c>
      <c r="E194" s="916">
        <v>0</v>
      </c>
      <c r="F194" s="916">
        <v>0</v>
      </c>
      <c r="G194" s="916">
        <v>0</v>
      </c>
      <c r="H194" s="916">
        <v>0</v>
      </c>
      <c r="I194" s="916">
        <v>0</v>
      </c>
      <c r="J194" s="916">
        <v>0</v>
      </c>
      <c r="K194" s="916">
        <v>0</v>
      </c>
      <c r="L194" s="916">
        <f t="shared" si="20"/>
        <v>0</v>
      </c>
    </row>
    <row r="195" spans="2:12" hidden="1" x14ac:dyDescent="0.2">
      <c r="B195" t="s">
        <v>232</v>
      </c>
      <c r="C195" s="916">
        <v>0</v>
      </c>
      <c r="D195" s="916">
        <v>0</v>
      </c>
      <c r="E195" s="916">
        <v>0</v>
      </c>
      <c r="F195" s="916">
        <v>0</v>
      </c>
      <c r="G195" s="916">
        <v>0</v>
      </c>
      <c r="H195" s="916">
        <v>0</v>
      </c>
      <c r="I195" s="916">
        <v>0</v>
      </c>
      <c r="J195" s="916">
        <v>0</v>
      </c>
      <c r="K195" s="916">
        <v>0</v>
      </c>
      <c r="L195" s="916">
        <f t="shared" si="20"/>
        <v>0</v>
      </c>
    </row>
    <row r="196" spans="2:12" hidden="1" x14ac:dyDescent="0.2">
      <c r="B196" t="s">
        <v>233</v>
      </c>
      <c r="C196" s="916">
        <v>0</v>
      </c>
      <c r="D196" s="916">
        <v>0</v>
      </c>
      <c r="E196" s="916">
        <v>0</v>
      </c>
      <c r="F196" s="916">
        <v>0</v>
      </c>
      <c r="G196" s="916">
        <v>0</v>
      </c>
      <c r="H196" s="916">
        <v>0</v>
      </c>
      <c r="I196" s="916">
        <v>0</v>
      </c>
      <c r="J196" s="916">
        <v>0</v>
      </c>
      <c r="K196" s="916">
        <v>0</v>
      </c>
      <c r="L196" s="916">
        <f t="shared" si="20"/>
        <v>0</v>
      </c>
    </row>
    <row r="197" spans="2:12" hidden="1" x14ac:dyDescent="0.2">
      <c r="B197" t="s">
        <v>234</v>
      </c>
      <c r="C197" s="916">
        <v>0</v>
      </c>
      <c r="D197" s="916">
        <v>0</v>
      </c>
      <c r="E197" s="916">
        <v>0</v>
      </c>
      <c r="F197" s="916">
        <v>0</v>
      </c>
      <c r="G197" s="916">
        <v>0</v>
      </c>
      <c r="H197" s="916">
        <v>0</v>
      </c>
      <c r="I197" s="916">
        <v>0</v>
      </c>
      <c r="J197" s="916">
        <v>0</v>
      </c>
      <c r="K197" s="916">
        <v>0</v>
      </c>
      <c r="L197" s="916">
        <f t="shared" si="20"/>
        <v>0</v>
      </c>
    </row>
    <row r="198" spans="2:12" x14ac:dyDescent="0.2">
      <c r="B198" t="s">
        <v>9</v>
      </c>
      <c r="C198" s="916">
        <v>0</v>
      </c>
      <c r="D198" s="916">
        <v>0</v>
      </c>
      <c r="E198" s="916">
        <v>0</v>
      </c>
      <c r="F198" s="916">
        <v>0</v>
      </c>
      <c r="G198" s="916">
        <v>0</v>
      </c>
      <c r="H198" s="916">
        <v>0</v>
      </c>
      <c r="I198" s="916">
        <v>0</v>
      </c>
      <c r="J198" s="916">
        <v>0</v>
      </c>
      <c r="K198" s="916">
        <v>-194759</v>
      </c>
      <c r="L198" s="916">
        <f t="shared" si="20"/>
        <v>-194759</v>
      </c>
    </row>
    <row r="199" spans="2:12" hidden="1" x14ac:dyDescent="0.2">
      <c r="B199" s="3" t="s">
        <v>581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f t="shared" si="20"/>
        <v>0</v>
      </c>
    </row>
    <row r="200" spans="2:12" hidden="1" x14ac:dyDescent="0.2">
      <c r="B200" s="3" t="s">
        <v>235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f t="shared" si="20"/>
        <v>0</v>
      </c>
    </row>
    <row r="201" spans="2:12" hidden="1" x14ac:dyDescent="0.2">
      <c r="B201" t="s">
        <v>236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f t="shared" ref="L201:L226" si="21">SUM(C201:K201)</f>
        <v>0</v>
      </c>
    </row>
    <row r="202" spans="2:12" hidden="1" x14ac:dyDescent="0.2">
      <c r="B202" t="s">
        <v>237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f t="shared" si="21"/>
        <v>0</v>
      </c>
    </row>
    <row r="203" spans="2:12" hidden="1" x14ac:dyDescent="0.2">
      <c r="B203" t="s">
        <v>238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f t="shared" si="21"/>
        <v>0</v>
      </c>
    </row>
    <row r="204" spans="2:12" hidden="1" x14ac:dyDescent="0.2">
      <c r="B204" t="s">
        <v>239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f t="shared" si="21"/>
        <v>0</v>
      </c>
    </row>
    <row r="205" spans="2:12" hidden="1" x14ac:dyDescent="0.2">
      <c r="B205" t="s">
        <v>240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f t="shared" si="21"/>
        <v>0</v>
      </c>
    </row>
    <row r="206" spans="2:12" hidden="1" x14ac:dyDescent="0.2">
      <c r="B206" t="s">
        <v>241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f t="shared" si="21"/>
        <v>0</v>
      </c>
    </row>
    <row r="207" spans="2:12" hidden="1" x14ac:dyDescent="0.2">
      <c r="B207" t="s">
        <v>242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f t="shared" si="21"/>
        <v>0</v>
      </c>
    </row>
    <row r="208" spans="2:12" hidden="1" x14ac:dyDescent="0.2">
      <c r="B208" t="s">
        <v>243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f t="shared" si="21"/>
        <v>0</v>
      </c>
    </row>
    <row r="209" spans="2:12" hidden="1" x14ac:dyDescent="0.2">
      <c r="B209" t="s">
        <v>244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f t="shared" si="21"/>
        <v>0</v>
      </c>
    </row>
    <row r="210" spans="2:12" hidden="1" x14ac:dyDescent="0.2">
      <c r="B210" s="2" t="s">
        <v>245</v>
      </c>
      <c r="L210" s="12">
        <f t="shared" si="21"/>
        <v>0</v>
      </c>
    </row>
    <row r="211" spans="2:12" hidden="1" x14ac:dyDescent="0.2">
      <c r="B211" t="s">
        <v>246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f t="shared" si="21"/>
        <v>0</v>
      </c>
    </row>
    <row r="212" spans="2:12" hidden="1" x14ac:dyDescent="0.2">
      <c r="B212" t="s">
        <v>247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f t="shared" si="21"/>
        <v>0</v>
      </c>
    </row>
    <row r="213" spans="2:12" hidden="1" x14ac:dyDescent="0.2">
      <c r="B213" t="s">
        <v>248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f t="shared" si="21"/>
        <v>0</v>
      </c>
    </row>
    <row r="214" spans="2:12" hidden="1" x14ac:dyDescent="0.2">
      <c r="B214" t="s">
        <v>249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f t="shared" si="21"/>
        <v>0</v>
      </c>
    </row>
    <row r="215" spans="2:12" hidden="1" x14ac:dyDescent="0.2">
      <c r="B215" t="s">
        <v>250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f t="shared" si="21"/>
        <v>0</v>
      </c>
    </row>
    <row r="216" spans="2:12" hidden="1" x14ac:dyDescent="0.2">
      <c r="B216" t="s">
        <v>251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f t="shared" si="21"/>
        <v>0</v>
      </c>
    </row>
    <row r="217" spans="2:12" hidden="1" x14ac:dyDescent="0.2">
      <c r="B217" t="s">
        <v>252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f t="shared" si="21"/>
        <v>0</v>
      </c>
    </row>
    <row r="218" spans="2:12" hidden="1" x14ac:dyDescent="0.2">
      <c r="B218" t="s">
        <v>253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f t="shared" si="21"/>
        <v>0</v>
      </c>
    </row>
    <row r="219" spans="2:12" hidden="1" x14ac:dyDescent="0.2">
      <c r="B219" t="s">
        <v>254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f t="shared" si="21"/>
        <v>0</v>
      </c>
    </row>
    <row r="220" spans="2:12" hidden="1" x14ac:dyDescent="0.2">
      <c r="B220" t="s">
        <v>255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f t="shared" si="21"/>
        <v>0</v>
      </c>
    </row>
    <row r="221" spans="2:12" hidden="1" x14ac:dyDescent="0.2">
      <c r="B221" t="s">
        <v>256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f t="shared" si="21"/>
        <v>0</v>
      </c>
    </row>
    <row r="222" spans="2:12" hidden="1" x14ac:dyDescent="0.2">
      <c r="B222" t="s">
        <v>257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f t="shared" si="21"/>
        <v>0</v>
      </c>
    </row>
    <row r="223" spans="2:12" hidden="1" x14ac:dyDescent="0.2">
      <c r="B223" t="s">
        <v>258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f t="shared" si="21"/>
        <v>0</v>
      </c>
    </row>
    <row r="224" spans="2:12" hidden="1" x14ac:dyDescent="0.2">
      <c r="B224" t="s">
        <v>259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f t="shared" si="21"/>
        <v>0</v>
      </c>
    </row>
    <row r="225" spans="2:12" hidden="1" x14ac:dyDescent="0.2">
      <c r="B225" t="s">
        <v>260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f t="shared" si="21"/>
        <v>0</v>
      </c>
    </row>
    <row r="226" spans="2:12" hidden="1" x14ac:dyDescent="0.2">
      <c r="L226" s="12">
        <f t="shared" si="21"/>
        <v>0</v>
      </c>
    </row>
  </sheetData>
  <pageMargins left="0.7" right="0.7" top="0.75" bottom="0.75" header="0.3" footer="0.3"/>
  <pageSetup scale="59" orientation="portrait" r:id="rId1"/>
  <colBreaks count="1" manualBreakCount="1">
    <brk id="7" max="1048575" man="1"/>
  </col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D9F4E-E057-46E5-A385-16361B35568E}">
  <sheetPr>
    <tabColor rgb="FFFF0000"/>
  </sheetPr>
  <dimension ref="A1:I85"/>
  <sheetViews>
    <sheetView showGridLines="0" zoomScale="80" zoomScaleNormal="8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50" sqref="L50"/>
    </sheetView>
  </sheetViews>
  <sheetFormatPr defaultColWidth="9.140625" defaultRowHeight="14.25" x14ac:dyDescent="0.2"/>
  <cols>
    <col min="1" max="1" width="3" style="62" customWidth="1"/>
    <col min="2" max="2" width="12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15.7109375" style="60" bestFit="1" customWidth="1"/>
    <col min="10" max="16384" width="9.140625" style="60"/>
  </cols>
  <sheetData>
    <row r="1" spans="1:9" ht="15" x14ac:dyDescent="0.25">
      <c r="A1" s="54" t="s">
        <v>309</v>
      </c>
      <c r="B1" s="55"/>
      <c r="C1" s="56" t="s">
        <v>747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9" ht="15" x14ac:dyDescent="0.25">
      <c r="A2" s="61" t="s">
        <v>311</v>
      </c>
      <c r="C2" s="63" t="s">
        <v>748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9" s="76" customFormat="1" ht="15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</row>
    <row r="4" spans="1:9" s="77" customFormat="1" ht="15" x14ac:dyDescent="0.2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</row>
    <row r="5" spans="1:9" s="77" customFormat="1" ht="15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441</v>
      </c>
    </row>
    <row r="6" spans="1:9" ht="15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9" x14ac:dyDescent="0.2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>
        <v>0</v>
      </c>
      <c r="I7" s="92"/>
    </row>
    <row r="8" spans="1:9" x14ac:dyDescent="0.2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551">
        <v>1091670</v>
      </c>
      <c r="I8" s="92" t="s">
        <v>173</v>
      </c>
    </row>
    <row r="9" spans="1:9" x14ac:dyDescent="0.2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551">
        <v>0</v>
      </c>
      <c r="I9" s="92"/>
    </row>
    <row r="10" spans="1:9" hidden="1" x14ac:dyDescent="0.2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551">
        <v>0</v>
      </c>
      <c r="I10" s="92"/>
    </row>
    <row r="11" spans="1:9" x14ac:dyDescent="0.2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551">
        <v>0</v>
      </c>
      <c r="I11" s="92"/>
    </row>
    <row r="12" spans="1:9" x14ac:dyDescent="0.2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10000</v>
      </c>
      <c r="G12" s="90">
        <v>0</v>
      </c>
      <c r="H12" s="551"/>
      <c r="I12" s="92"/>
    </row>
    <row r="13" spans="1:9" hidden="1" x14ac:dyDescent="0.2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0</v>
      </c>
      <c r="G13" s="90">
        <v>0</v>
      </c>
      <c r="H13" s="551">
        <v>0</v>
      </c>
      <c r="I13" s="92"/>
    </row>
    <row r="14" spans="1:9" x14ac:dyDescent="0.2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551">
        <v>0</v>
      </c>
      <c r="I14" s="92"/>
    </row>
    <row r="15" spans="1:9" x14ac:dyDescent="0.2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551">
        <v>60000</v>
      </c>
      <c r="I15" s="92" t="s">
        <v>188</v>
      </c>
    </row>
    <row r="16" spans="1:9" x14ac:dyDescent="0.2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1000</v>
      </c>
      <c r="G16" s="90">
        <v>0</v>
      </c>
      <c r="H16" s="91"/>
      <c r="I16" s="92"/>
    </row>
    <row r="17" spans="1:9" hidden="1" x14ac:dyDescent="0.2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>
        <v>0</v>
      </c>
      <c r="I17" s="92"/>
    </row>
    <row r="18" spans="1:9" hidden="1" x14ac:dyDescent="0.2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0</v>
      </c>
      <c r="G18" s="90">
        <v>0</v>
      </c>
      <c r="H18" s="91">
        <v>0</v>
      </c>
      <c r="I18" s="92"/>
    </row>
    <row r="19" spans="1:9" hidden="1" x14ac:dyDescent="0.2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>
        <v>0</v>
      </c>
      <c r="G19" s="90">
        <v>0</v>
      </c>
      <c r="H19" s="91">
        <v>0</v>
      </c>
      <c r="I19" s="92"/>
    </row>
    <row r="20" spans="1:9" x14ac:dyDescent="0.2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164300</v>
      </c>
      <c r="G20" s="90">
        <v>0</v>
      </c>
      <c r="H20" s="91"/>
      <c r="I20" s="92"/>
    </row>
    <row r="21" spans="1:9" hidden="1" x14ac:dyDescent="0.2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>
        <v>0</v>
      </c>
      <c r="G21" s="90">
        <v>0</v>
      </c>
      <c r="H21" s="91">
        <v>0</v>
      </c>
      <c r="I21" s="92"/>
    </row>
    <row r="22" spans="1:9" hidden="1" x14ac:dyDescent="0.2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0</v>
      </c>
      <c r="G22" s="90">
        <v>0</v>
      </c>
      <c r="H22" s="91">
        <v>0</v>
      </c>
      <c r="I22" s="92"/>
    </row>
    <row r="23" spans="1:9" hidden="1" x14ac:dyDescent="0.2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>
        <v>0</v>
      </c>
      <c r="G23" s="90">
        <v>0</v>
      </c>
      <c r="H23" s="91">
        <v>0</v>
      </c>
      <c r="I23" s="92"/>
    </row>
    <row r="24" spans="1:9" hidden="1" x14ac:dyDescent="0.2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>
        <v>0</v>
      </c>
      <c r="I24" s="92"/>
    </row>
    <row r="25" spans="1:9" hidden="1" x14ac:dyDescent="0.2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>
        <v>0</v>
      </c>
      <c r="I25" s="92"/>
    </row>
    <row r="26" spans="1:9" hidden="1" x14ac:dyDescent="0.2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>
        <v>0</v>
      </c>
      <c r="I26" s="92"/>
    </row>
    <row r="27" spans="1:9" hidden="1" x14ac:dyDescent="0.2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>
        <v>0</v>
      </c>
      <c r="I27" s="92"/>
    </row>
    <row r="28" spans="1:9" x14ac:dyDescent="0.2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>
        <v>18753</v>
      </c>
      <c r="G28" s="90">
        <v>0</v>
      </c>
      <c r="H28" s="91">
        <v>0</v>
      </c>
      <c r="I28" s="92"/>
    </row>
    <row r="29" spans="1:9" hidden="1" x14ac:dyDescent="0.2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/>
      <c r="G29" s="90">
        <v>0</v>
      </c>
      <c r="H29" s="91">
        <v>0</v>
      </c>
      <c r="I29" s="92"/>
    </row>
    <row r="30" spans="1:9" x14ac:dyDescent="0.2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500</v>
      </c>
      <c r="G30" s="90">
        <v>0</v>
      </c>
      <c r="H30" s="91"/>
      <c r="I30" s="92"/>
    </row>
    <row r="31" spans="1:9" x14ac:dyDescent="0.2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55000</v>
      </c>
      <c r="G31" s="90">
        <v>0</v>
      </c>
      <c r="H31" s="91"/>
      <c r="I31" s="92"/>
    </row>
    <row r="32" spans="1:9" x14ac:dyDescent="0.2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6000</v>
      </c>
      <c r="G32" s="90">
        <v>0</v>
      </c>
      <c r="H32" s="91"/>
      <c r="I32" s="92"/>
    </row>
    <row r="33" spans="1:9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255553</v>
      </c>
      <c r="G33" s="104">
        <f>SUM(G6:G32)</f>
        <v>0</v>
      </c>
      <c r="H33" s="106">
        <f>SUM(H6:H32)</f>
        <v>1151670</v>
      </c>
      <c r="I33" s="107"/>
    </row>
    <row r="34" spans="1:9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112"/>
    </row>
    <row r="35" spans="1:9" x14ac:dyDescent="0.2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>
        <v>0</v>
      </c>
      <c r="G35" s="90">
        <v>0</v>
      </c>
      <c r="H35" s="91">
        <v>0</v>
      </c>
      <c r="I35" s="92"/>
    </row>
    <row r="36" spans="1:9" ht="15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89">
        <v>5022889.7907646047</v>
      </c>
      <c r="G36" s="90">
        <v>0</v>
      </c>
      <c r="H36" s="91">
        <v>0</v>
      </c>
      <c r="I36" s="120"/>
    </row>
    <row r="37" spans="1:9" x14ac:dyDescent="0.2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>
        <v>0</v>
      </c>
      <c r="G37" s="90">
        <v>0</v>
      </c>
      <c r="H37" s="91">
        <v>0</v>
      </c>
      <c r="I37" s="92"/>
    </row>
    <row r="38" spans="1:9" ht="15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89">
        <v>617540.87034167955</v>
      </c>
      <c r="G38" s="90">
        <v>0</v>
      </c>
      <c r="H38" s="91">
        <v>0</v>
      </c>
      <c r="I38" s="120"/>
    </row>
    <row r="39" spans="1:9" ht="15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89">
        <v>0</v>
      </c>
      <c r="G39" s="90">
        <v>0</v>
      </c>
      <c r="H39" s="91">
        <v>0</v>
      </c>
      <c r="I39" s="92"/>
    </row>
    <row r="40" spans="1:9" ht="15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89">
        <v>45546.198965873104</v>
      </c>
      <c r="G40" s="90">
        <v>0</v>
      </c>
      <c r="H40" s="91">
        <v>0</v>
      </c>
      <c r="I40" s="92"/>
    </row>
    <row r="41" spans="1:9" ht="15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89">
        <v>0</v>
      </c>
      <c r="G41" s="90">
        <v>0</v>
      </c>
      <c r="H41" s="91">
        <v>0</v>
      </c>
      <c r="I41" s="92"/>
    </row>
    <row r="42" spans="1:9" s="130" customFormat="1" x14ac:dyDescent="0.2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>
        <v>835474</v>
      </c>
      <c r="G42" s="306">
        <v>0</v>
      </c>
      <c r="H42" s="307">
        <v>0</v>
      </c>
      <c r="I42" s="129"/>
    </row>
    <row r="43" spans="1:9" x14ac:dyDescent="0.2">
      <c r="A43" s="96"/>
      <c r="B43" s="94" t="s">
        <v>379</v>
      </c>
      <c r="C43" s="95" t="s">
        <v>31</v>
      </c>
      <c r="D43" s="88">
        <v>0</v>
      </c>
      <c r="E43" s="88">
        <v>0</v>
      </c>
      <c r="F43" s="88">
        <v>0</v>
      </c>
      <c r="G43" s="90">
        <v>0</v>
      </c>
      <c r="H43" s="91">
        <v>0</v>
      </c>
      <c r="I43" s="92"/>
    </row>
    <row r="44" spans="1:9" ht="15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89">
        <v>756154</v>
      </c>
      <c r="G44" s="90">
        <v>0</v>
      </c>
      <c r="H44" s="91">
        <v>0</v>
      </c>
      <c r="I44" s="92"/>
    </row>
    <row r="45" spans="1:9" x14ac:dyDescent="0.2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>
        <v>0</v>
      </c>
      <c r="G45" s="90">
        <v>0</v>
      </c>
      <c r="H45" s="91">
        <v>0</v>
      </c>
      <c r="I45" s="92"/>
    </row>
    <row r="46" spans="1:9" x14ac:dyDescent="0.2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>
        <v>0</v>
      </c>
      <c r="G46" s="90">
        <v>0</v>
      </c>
      <c r="H46" s="91">
        <v>0</v>
      </c>
      <c r="I46" s="92"/>
    </row>
    <row r="47" spans="1:9" hidden="1" x14ac:dyDescent="0.2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>
        <v>0</v>
      </c>
      <c r="G47" s="90">
        <v>0</v>
      </c>
      <c r="H47" s="91">
        <v>0</v>
      </c>
      <c r="I47" s="133"/>
    </row>
    <row r="48" spans="1:9" x14ac:dyDescent="0.2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>
        <v>1000</v>
      </c>
      <c r="G48" s="90">
        <v>0</v>
      </c>
      <c r="H48" s="91">
        <v>0</v>
      </c>
      <c r="I48" s="92"/>
    </row>
    <row r="49" spans="1:9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7278604.8600721583</v>
      </c>
      <c r="G49" s="104">
        <f>SUM(G34:G48)</f>
        <v>0</v>
      </c>
      <c r="H49" s="106">
        <f>SUM(H34:H48)</f>
        <v>0</v>
      </c>
      <c r="I49" s="107"/>
    </row>
    <row r="50" spans="1:9" ht="15.75" thickTop="1" x14ac:dyDescent="0.25">
      <c r="A50" s="135" t="s">
        <v>387</v>
      </c>
      <c r="B50" s="136"/>
      <c r="C50" s="87" t="s">
        <v>388</v>
      </c>
      <c r="D50" s="137"/>
      <c r="E50" s="138"/>
      <c r="F50" s="139"/>
      <c r="G50" s="138"/>
      <c r="H50" s="140"/>
      <c r="I50" s="112"/>
    </row>
    <row r="51" spans="1:9" x14ac:dyDescent="0.2">
      <c r="A51" s="141" t="s">
        <v>389</v>
      </c>
      <c r="B51" s="142"/>
      <c r="C51" s="95" t="s">
        <v>390</v>
      </c>
      <c r="D51" s="143">
        <v>0</v>
      </c>
      <c r="E51" s="88">
        <v>0</v>
      </c>
      <c r="F51" s="144">
        <v>400</v>
      </c>
      <c r="G51" s="143">
        <v>0</v>
      </c>
      <c r="H51" s="111">
        <v>0</v>
      </c>
      <c r="I51" s="92"/>
    </row>
    <row r="52" spans="1:9" x14ac:dyDescent="0.2">
      <c r="A52" s="141" t="s">
        <v>391</v>
      </c>
      <c r="B52" s="142"/>
      <c r="C52" s="95" t="s">
        <v>392</v>
      </c>
      <c r="D52" s="143">
        <v>0</v>
      </c>
      <c r="E52" s="88">
        <v>0</v>
      </c>
      <c r="F52" s="144">
        <v>342835</v>
      </c>
      <c r="G52" s="143">
        <v>0</v>
      </c>
      <c r="H52" s="111">
        <v>0</v>
      </c>
      <c r="I52" s="92"/>
    </row>
    <row r="53" spans="1:9" x14ac:dyDescent="0.2">
      <c r="A53" s="145" t="s">
        <v>395</v>
      </c>
      <c r="B53" s="142"/>
      <c r="C53" s="95" t="s">
        <v>299</v>
      </c>
      <c r="D53" s="143">
        <v>0</v>
      </c>
      <c r="E53" s="88">
        <v>0</v>
      </c>
      <c r="F53" s="144">
        <v>51407</v>
      </c>
      <c r="G53" s="143">
        <v>0</v>
      </c>
      <c r="H53" s="111">
        <v>0</v>
      </c>
      <c r="I53" s="92"/>
    </row>
    <row r="54" spans="1:9" x14ac:dyDescent="0.2">
      <c r="A54" s="141" t="s">
        <v>396</v>
      </c>
      <c r="B54" s="142"/>
      <c r="C54" s="95" t="s">
        <v>298</v>
      </c>
      <c r="D54" s="143">
        <v>0</v>
      </c>
      <c r="E54" s="88">
        <v>0</v>
      </c>
      <c r="F54" s="144">
        <f>202559+7000</f>
        <v>209559</v>
      </c>
      <c r="G54" s="143">
        <v>0</v>
      </c>
      <c r="H54" s="111">
        <v>0</v>
      </c>
      <c r="I54" s="92"/>
    </row>
    <row r="55" spans="1:9" hidden="1" x14ac:dyDescent="0.2">
      <c r="A55" s="145" t="s">
        <v>397</v>
      </c>
      <c r="B55" s="142"/>
      <c r="C55" s="95" t="s">
        <v>398</v>
      </c>
      <c r="D55" s="143">
        <v>0</v>
      </c>
      <c r="E55" s="88">
        <v>0</v>
      </c>
      <c r="F55" s="144">
        <v>0</v>
      </c>
      <c r="G55" s="143">
        <v>0</v>
      </c>
      <c r="H55" s="111">
        <v>0</v>
      </c>
      <c r="I55" s="92"/>
    </row>
    <row r="56" spans="1:9" hidden="1" x14ac:dyDescent="0.2">
      <c r="A56" s="141" t="s">
        <v>399</v>
      </c>
      <c r="B56" s="142"/>
      <c r="C56" s="95" t="s">
        <v>400</v>
      </c>
      <c r="D56" s="143">
        <v>0</v>
      </c>
      <c r="E56" s="88">
        <v>0</v>
      </c>
      <c r="F56" s="144">
        <v>0</v>
      </c>
      <c r="G56" s="143">
        <v>0</v>
      </c>
      <c r="H56" s="111">
        <v>0</v>
      </c>
      <c r="I56" s="92"/>
    </row>
    <row r="57" spans="1:9" ht="15.75" thickBot="1" x14ac:dyDescent="0.3">
      <c r="A57" s="146" t="s">
        <v>126</v>
      </c>
      <c r="B57" s="147"/>
      <c r="C57" s="103"/>
      <c r="D57" s="104">
        <f>SUM(D50:D56)</f>
        <v>0</v>
      </c>
      <c r="E57" s="104">
        <f t="shared" ref="E57:H57" si="0">SUM(E50:E56)</f>
        <v>0</v>
      </c>
      <c r="F57" s="105">
        <f t="shared" si="0"/>
        <v>604201</v>
      </c>
      <c r="G57" s="104">
        <f t="shared" si="0"/>
        <v>0</v>
      </c>
      <c r="H57" s="106">
        <f t="shared" si="0"/>
        <v>0</v>
      </c>
      <c r="I57" s="107"/>
    </row>
    <row r="58" spans="1:9" ht="15.75" thickTop="1" x14ac:dyDescent="0.25">
      <c r="A58" s="135" t="s">
        <v>401</v>
      </c>
      <c r="B58" s="136"/>
      <c r="C58" s="87" t="s">
        <v>402</v>
      </c>
      <c r="D58" s="148"/>
      <c r="E58" s="149"/>
      <c r="F58" s="150"/>
      <c r="G58" s="149"/>
      <c r="H58" s="111">
        <v>0</v>
      </c>
      <c r="I58" s="112"/>
    </row>
    <row r="59" spans="1:9" hidden="1" x14ac:dyDescent="0.2">
      <c r="A59" s="141" t="s">
        <v>403</v>
      </c>
      <c r="B59" s="151"/>
      <c r="C59" s="95" t="s">
        <v>404</v>
      </c>
      <c r="D59" s="143">
        <v>0</v>
      </c>
      <c r="E59" s="152">
        <v>0</v>
      </c>
      <c r="F59" s="144">
        <v>0</v>
      </c>
      <c r="G59" s="143">
        <v>0</v>
      </c>
      <c r="H59" s="111">
        <v>0</v>
      </c>
      <c r="I59" s="92"/>
    </row>
    <row r="60" spans="1:9" hidden="1" x14ac:dyDescent="0.2">
      <c r="A60" s="145"/>
      <c r="B60" s="151" t="s">
        <v>405</v>
      </c>
      <c r="C60" s="95" t="s">
        <v>406</v>
      </c>
      <c r="D60" s="143">
        <v>0</v>
      </c>
      <c r="E60" s="88">
        <v>0</v>
      </c>
      <c r="F60" s="144">
        <v>0</v>
      </c>
      <c r="G60" s="143">
        <v>0</v>
      </c>
      <c r="H60" s="111">
        <v>0</v>
      </c>
      <c r="I60" s="92"/>
    </row>
    <row r="61" spans="1:9" hidden="1" x14ac:dyDescent="0.2">
      <c r="A61" s="145"/>
      <c r="B61" s="151" t="s">
        <v>407</v>
      </c>
      <c r="C61" s="95" t="s">
        <v>408</v>
      </c>
      <c r="D61" s="143">
        <v>0</v>
      </c>
      <c r="E61" s="88">
        <v>0</v>
      </c>
      <c r="F61" s="144">
        <v>0</v>
      </c>
      <c r="G61" s="143">
        <v>0</v>
      </c>
      <c r="H61" s="111">
        <v>0</v>
      </c>
      <c r="I61" s="92"/>
    </row>
    <row r="62" spans="1:9" hidden="1" x14ac:dyDescent="0.2">
      <c r="A62" s="145" t="s">
        <v>409</v>
      </c>
      <c r="B62" s="153"/>
      <c r="C62" s="95" t="s">
        <v>301</v>
      </c>
      <c r="D62" s="143">
        <v>0</v>
      </c>
      <c r="E62" s="88">
        <v>0</v>
      </c>
      <c r="F62" s="144">
        <v>0</v>
      </c>
      <c r="G62" s="143">
        <v>0</v>
      </c>
      <c r="H62" s="111">
        <v>0</v>
      </c>
      <c r="I62" s="92"/>
    </row>
    <row r="63" spans="1:9" hidden="1" x14ac:dyDescent="0.2">
      <c r="A63" s="145" t="s">
        <v>410</v>
      </c>
      <c r="B63" s="153"/>
      <c r="C63" s="95" t="s">
        <v>411</v>
      </c>
      <c r="D63" s="143">
        <v>0</v>
      </c>
      <c r="E63" s="88">
        <v>0</v>
      </c>
      <c r="F63" s="144">
        <v>0</v>
      </c>
      <c r="G63" s="143">
        <v>0</v>
      </c>
      <c r="H63" s="111">
        <v>0</v>
      </c>
      <c r="I63" s="92"/>
    </row>
    <row r="64" spans="1:9" hidden="1" x14ac:dyDescent="0.2">
      <c r="A64" s="141" t="s">
        <v>412</v>
      </c>
      <c r="B64" s="153"/>
      <c r="C64" s="95" t="s">
        <v>413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92"/>
    </row>
    <row r="65" spans="1:9" hidden="1" x14ac:dyDescent="0.2">
      <c r="A65" s="145" t="s">
        <v>414</v>
      </c>
      <c r="B65" s="153"/>
      <c r="C65" s="95" t="s">
        <v>415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92"/>
    </row>
    <row r="66" spans="1:9" x14ac:dyDescent="0.2">
      <c r="A66" s="141" t="s">
        <v>749</v>
      </c>
      <c r="B66" s="153"/>
      <c r="C66" s="95" t="s">
        <v>417</v>
      </c>
      <c r="D66" s="143">
        <v>0</v>
      </c>
      <c r="E66" s="88">
        <v>0</v>
      </c>
      <c r="F66" s="144">
        <v>11785</v>
      </c>
      <c r="G66" s="143">
        <v>0</v>
      </c>
      <c r="H66" s="111">
        <v>0</v>
      </c>
      <c r="I66" s="92"/>
    </row>
    <row r="67" spans="1:9" ht="15.75" thickBot="1" x14ac:dyDescent="0.3">
      <c r="A67" s="154" t="s">
        <v>127</v>
      </c>
      <c r="B67" s="155"/>
      <c r="C67" s="156"/>
      <c r="D67" s="157">
        <f>SUM(D58:D66)</f>
        <v>0</v>
      </c>
      <c r="E67" s="157">
        <f>SUM(E58:E66)</f>
        <v>0</v>
      </c>
      <c r="F67" s="158">
        <f>SUM(F58:F66)</f>
        <v>11785</v>
      </c>
      <c r="G67" s="157">
        <f>SUM(G58:G66)</f>
        <v>0</v>
      </c>
      <c r="H67" s="159">
        <f>SUM(H58:H66)</f>
        <v>0</v>
      </c>
      <c r="I67" s="92"/>
    </row>
    <row r="68" spans="1:9" ht="15" x14ac:dyDescent="0.25">
      <c r="A68" s="160" t="s">
        <v>418</v>
      </c>
      <c r="B68" s="161"/>
      <c r="C68" s="162" t="s">
        <v>419</v>
      </c>
      <c r="D68" s="143"/>
      <c r="E68" s="143"/>
      <c r="F68" s="144"/>
      <c r="G68" s="143"/>
      <c r="H68" s="111">
        <v>0</v>
      </c>
      <c r="I68" s="92"/>
    </row>
    <row r="69" spans="1:9" hidden="1" x14ac:dyDescent="0.2">
      <c r="A69" s="141"/>
      <c r="B69" s="142" t="s">
        <v>420</v>
      </c>
      <c r="C69" s="95"/>
      <c r="D69" s="143">
        <v>0</v>
      </c>
      <c r="E69" s="143">
        <v>0</v>
      </c>
      <c r="F69" s="144">
        <v>0</v>
      </c>
      <c r="G69" s="143">
        <v>0</v>
      </c>
      <c r="H69" s="111">
        <v>0</v>
      </c>
      <c r="I69" s="92"/>
    </row>
    <row r="70" spans="1:9" x14ac:dyDescent="0.2">
      <c r="A70" s="145"/>
      <c r="B70" s="142" t="s">
        <v>304</v>
      </c>
      <c r="C70" s="95"/>
      <c r="D70" s="143">
        <v>0</v>
      </c>
      <c r="E70" s="143">
        <v>0</v>
      </c>
      <c r="F70" s="144">
        <v>8587618</v>
      </c>
      <c r="G70" s="143">
        <v>0</v>
      </c>
      <c r="H70" s="111">
        <v>1161620</v>
      </c>
      <c r="I70" s="92"/>
    </row>
    <row r="71" spans="1:9" ht="15.75" thickBot="1" x14ac:dyDescent="0.3">
      <c r="A71" s="164" t="s">
        <v>129</v>
      </c>
      <c r="B71" s="165"/>
      <c r="C71" s="166"/>
      <c r="D71" s="167">
        <f>SUM(D69:D70)</f>
        <v>0</v>
      </c>
      <c r="E71" s="167">
        <f>SUM(E69:E70)</f>
        <v>0</v>
      </c>
      <c r="F71" s="158">
        <f t="shared" ref="F71:G71" si="1">SUM(F69:F70)</f>
        <v>8587618</v>
      </c>
      <c r="G71" s="157">
        <f t="shared" si="1"/>
        <v>0</v>
      </c>
      <c r="H71" s="159">
        <f>SUM(H69:H70)</f>
        <v>1161620</v>
      </c>
      <c r="I71" s="92"/>
    </row>
    <row r="72" spans="1:9" x14ac:dyDescent="0.2">
      <c r="A72" s="145"/>
      <c r="B72" s="142" t="s">
        <v>421</v>
      </c>
      <c r="C72" s="95"/>
      <c r="D72" s="143"/>
      <c r="E72" s="143"/>
      <c r="F72" s="168"/>
      <c r="G72" s="143"/>
      <c r="H72" s="111">
        <v>0</v>
      </c>
      <c r="I72" s="92"/>
    </row>
    <row r="73" spans="1:9" x14ac:dyDescent="0.2">
      <c r="A73" s="141"/>
      <c r="B73" s="142" t="s">
        <v>422</v>
      </c>
      <c r="C73" s="95"/>
      <c r="D73" s="143"/>
      <c r="E73" s="143"/>
      <c r="F73" s="144"/>
      <c r="G73" s="143"/>
      <c r="H73" s="111">
        <v>0</v>
      </c>
      <c r="I73" s="92"/>
    </row>
    <row r="74" spans="1:9" ht="15.75" thickBot="1" x14ac:dyDescent="0.3">
      <c r="A74" s="169" t="s">
        <v>423</v>
      </c>
      <c r="B74" s="170"/>
      <c r="C74" s="171"/>
      <c r="D74" s="172">
        <f>'PCFP - All Revenue AA-1 R-15'!D33+'PCFP - All Revenue AA-1 R-15'!D49+'PCFP - All Revenue AA-1 R-15'!D57+'PCFP - All Revenue AA-1 R-15'!D71+'PCFP - All Revenue AA-1 R-15'!D67</f>
        <v>0</v>
      </c>
      <c r="E74" s="172">
        <f>'PCFP - All Revenue AA-1 R-15'!E33+'PCFP - All Revenue AA-1 R-15'!E49+'PCFP - All Revenue AA-1 R-15'!E57+'PCFP - All Revenue AA-1 R-15'!E71+'PCFP - All Revenue AA-1 R-15'!E67</f>
        <v>0</v>
      </c>
      <c r="F74" s="173">
        <f>'PCFP - All Revenue AA-1 R-15'!F33+'PCFP - All Revenue AA-1 R-15'!F49+'PCFP - All Revenue AA-1 R-15'!F57+'PCFP - All Revenue AA-1 R-15'!F71+'PCFP - All Revenue AA-1 R-15'!F67</f>
        <v>16737761.860072158</v>
      </c>
      <c r="G74" s="172">
        <f>'PCFP - All Revenue AA-1 R-15'!G33+'PCFP - All Revenue AA-1 R-15'!G49+'PCFP - All Revenue AA-1 R-15'!G57+'PCFP - All Revenue AA-1 R-15'!G71+'PCFP - All Revenue AA-1 R-15'!G67</f>
        <v>0</v>
      </c>
      <c r="H74" s="174">
        <f>'PCFP - All Revenue AA-1 R-15'!H33+'PCFP - All Revenue AA-1 R-15'!H49+'PCFP - All Revenue AA-1 R-15'!H57+'PCFP - All Revenue AA-1 R-15'!H71+'PCFP - All Revenue AA-1 R-15'!H67</f>
        <v>2313290</v>
      </c>
      <c r="I74" s="92"/>
    </row>
    <row r="75" spans="1:9" ht="15.75" thickTop="1" x14ac:dyDescent="0.25">
      <c r="A75" s="175"/>
      <c r="B75" s="176" t="s">
        <v>10</v>
      </c>
      <c r="C75" s="177" t="s">
        <v>424</v>
      </c>
      <c r="D75" s="143"/>
      <c r="E75" s="152"/>
      <c r="F75" s="144"/>
      <c r="G75" s="143"/>
      <c r="H75" s="111">
        <v>0</v>
      </c>
      <c r="I75" s="92"/>
    </row>
    <row r="76" spans="1:9" ht="15" x14ac:dyDescent="0.25">
      <c r="A76" s="175"/>
      <c r="B76" s="179" t="s">
        <v>10</v>
      </c>
      <c r="C76" s="177" t="s">
        <v>425</v>
      </c>
      <c r="D76" s="143"/>
      <c r="E76" s="88"/>
      <c r="F76" s="144"/>
      <c r="G76" s="143"/>
      <c r="H76" s="111">
        <v>0</v>
      </c>
      <c r="I76" s="92"/>
    </row>
    <row r="77" spans="1:9" ht="15" x14ac:dyDescent="0.25">
      <c r="A77" s="175"/>
      <c r="B77" s="179" t="s">
        <v>10</v>
      </c>
      <c r="C77" s="177" t="s">
        <v>426</v>
      </c>
      <c r="D77" s="143"/>
      <c r="E77" s="88"/>
      <c r="F77" s="144"/>
      <c r="G77" s="143"/>
      <c r="H77" s="111">
        <v>0</v>
      </c>
      <c r="I77" s="92"/>
    </row>
    <row r="78" spans="1:9" ht="15.75" thickBot="1" x14ac:dyDescent="0.3">
      <c r="A78" s="180"/>
      <c r="B78" s="181" t="s">
        <v>10</v>
      </c>
      <c r="C78" s="182" t="s">
        <v>427</v>
      </c>
      <c r="D78" s="157"/>
      <c r="E78" s="167"/>
      <c r="F78" s="158"/>
      <c r="G78" s="157"/>
      <c r="H78" s="183">
        <v>0</v>
      </c>
      <c r="I78" s="92"/>
    </row>
    <row r="79" spans="1:9" ht="15" x14ac:dyDescent="0.25">
      <c r="A79" s="184"/>
      <c r="B79" s="185"/>
      <c r="C79" s="186"/>
      <c r="D79" s="187">
        <f>SUM(D75:D78)</f>
        <v>0</v>
      </c>
      <c r="E79" s="187">
        <f t="shared" ref="E79:G79" si="2">SUM(E75:E78)</f>
        <v>0</v>
      </c>
      <c r="F79" s="187">
        <f t="shared" si="2"/>
        <v>0</v>
      </c>
      <c r="G79" s="187">
        <f t="shared" si="2"/>
        <v>0</v>
      </c>
      <c r="H79" s="187">
        <f>SUM(H75:H78)</f>
        <v>0</v>
      </c>
    </row>
    <row r="80" spans="1:9" x14ac:dyDescent="0.2">
      <c r="A80" s="189"/>
      <c r="B80" s="189"/>
      <c r="C80" s="190"/>
      <c r="D80" s="190"/>
      <c r="E80" s="190"/>
      <c r="F80" s="190"/>
      <c r="G80" s="190"/>
      <c r="H80" s="190"/>
    </row>
    <row r="81" spans="1:8" x14ac:dyDescent="0.2">
      <c r="A81" s="94"/>
      <c r="B81" s="94"/>
      <c r="C81" s="191" t="str">
        <f>C1</f>
        <v>Storey County School District</v>
      </c>
      <c r="D81" s="190" t="s">
        <v>428</v>
      </c>
      <c r="E81" s="190"/>
      <c r="F81" s="190"/>
      <c r="G81" s="192" t="str">
        <f>"Budget Fiscal Year "&amp;TEXT('[15]Form 1'!$C$136, "mm/dd/yy")</f>
        <v>Budget Fiscal Year 2019-2020</v>
      </c>
      <c r="H81" s="190"/>
    </row>
    <row r="82" spans="1:8" x14ac:dyDescent="0.2">
      <c r="A82" s="98"/>
      <c r="B82" s="98"/>
      <c r="C82" s="193" t="s">
        <v>429</v>
      </c>
      <c r="D82" s="189" t="s">
        <v>430</v>
      </c>
      <c r="E82" s="190"/>
      <c r="F82" s="194"/>
      <c r="G82" s="192" t="s">
        <v>431</v>
      </c>
      <c r="H82" s="190"/>
    </row>
    <row r="83" spans="1:8" x14ac:dyDescent="0.2">
      <c r="A83" s="189"/>
      <c r="B83" s="189"/>
      <c r="C83" s="190"/>
      <c r="D83" s="190"/>
      <c r="E83" s="190"/>
      <c r="F83" s="195"/>
      <c r="G83" s="196"/>
      <c r="H83" s="197"/>
    </row>
    <row r="84" spans="1:8" x14ac:dyDescent="0.2">
      <c r="A84" s="189"/>
      <c r="B84" s="189"/>
      <c r="C84" s="190"/>
      <c r="D84" s="190"/>
      <c r="E84" s="190"/>
      <c r="H84" s="192"/>
    </row>
    <row r="85" spans="1:8" x14ac:dyDescent="0.2">
      <c r="A85" s="189"/>
      <c r="B85" s="189"/>
      <c r="C85" s="190"/>
      <c r="D85" s="190"/>
      <c r="E85" s="190"/>
      <c r="H85" s="192"/>
    </row>
  </sheetData>
  <pageMargins left="0.2" right="0.2" top="0.25" bottom="0.25" header="0.05" footer="0.05"/>
  <pageSetup paperSize="5" scale="67" fitToHeight="2" orientation="landscape" r:id="rId1"/>
  <rowBreaks count="1" manualBreakCount="1">
    <brk id="57" max="7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EFB0-0B8B-4202-8948-3920B7D5EFB0}">
  <sheetPr>
    <tabColor rgb="FFFFFF00"/>
    <pageSetUpPr fitToPage="1"/>
  </sheetPr>
  <dimension ref="A1:L151"/>
  <sheetViews>
    <sheetView showGridLines="0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9.2851562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441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1776759</v>
      </c>
      <c r="D3" s="89">
        <v>951851</v>
      </c>
      <c r="E3" s="89">
        <v>527330</v>
      </c>
      <c r="F3" s="89">
        <v>0</v>
      </c>
      <c r="G3" s="89">
        <v>0</v>
      </c>
      <c r="H3" s="89">
        <v>0</v>
      </c>
      <c r="I3" s="214">
        <v>0</v>
      </c>
      <c r="J3" s="89">
        <f>SUM(C3:I3)</f>
        <v>3255940</v>
      </c>
      <c r="K3" s="92"/>
    </row>
    <row r="4" spans="1:11" x14ac:dyDescent="0.2">
      <c r="A4" s="116">
        <v>200</v>
      </c>
      <c r="B4" s="95" t="s">
        <v>135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214">
        <v>0</v>
      </c>
      <c r="J4" s="89">
        <f t="shared" ref="J4:J67" si="0">SUM(C4:I4)</f>
        <v>0</v>
      </c>
      <c r="K4" s="92"/>
    </row>
    <row r="5" spans="1:11" x14ac:dyDescent="0.2">
      <c r="A5" s="210" t="s">
        <v>10</v>
      </c>
      <c r="B5" s="211" t="s">
        <v>136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214">
        <v>0</v>
      </c>
      <c r="J5" s="89">
        <f t="shared" si="0"/>
        <v>0</v>
      </c>
      <c r="K5" s="212"/>
    </row>
    <row r="6" spans="1:11" x14ac:dyDescent="0.2">
      <c r="A6" s="116">
        <v>270</v>
      </c>
      <c r="B6" s="95" t="s">
        <v>137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214">
        <v>0</v>
      </c>
      <c r="J6" s="89">
        <f t="shared" si="0"/>
        <v>0</v>
      </c>
      <c r="K6" s="92"/>
    </row>
    <row r="7" spans="1:11" x14ac:dyDescent="0.2">
      <c r="A7" s="210" t="s">
        <v>10</v>
      </c>
      <c r="B7" s="211" t="s">
        <v>138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214">
        <v>0</v>
      </c>
      <c r="J7" s="89">
        <f t="shared" si="0"/>
        <v>0</v>
      </c>
      <c r="K7" s="212"/>
    </row>
    <row r="8" spans="1:11" x14ac:dyDescent="0.2">
      <c r="A8" s="116">
        <v>300</v>
      </c>
      <c r="B8" s="95" t="s">
        <v>139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214">
        <v>0</v>
      </c>
      <c r="J8" s="89">
        <f t="shared" si="0"/>
        <v>0</v>
      </c>
      <c r="K8" s="92"/>
    </row>
    <row r="9" spans="1:11" x14ac:dyDescent="0.2">
      <c r="A9" s="116">
        <v>400</v>
      </c>
      <c r="B9" s="95" t="s">
        <v>140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214">
        <v>0</v>
      </c>
      <c r="J9" s="89">
        <f t="shared" si="0"/>
        <v>0</v>
      </c>
      <c r="K9" s="92"/>
    </row>
    <row r="10" spans="1:11" x14ac:dyDescent="0.2">
      <c r="A10" s="210" t="s">
        <v>10</v>
      </c>
      <c r="B10" s="211" t="s">
        <v>141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214">
        <v>0</v>
      </c>
      <c r="J10" s="89">
        <f t="shared" si="0"/>
        <v>0</v>
      </c>
      <c r="K10" s="212"/>
    </row>
    <row r="11" spans="1:11" x14ac:dyDescent="0.2">
      <c r="A11" s="210" t="s">
        <v>10</v>
      </c>
      <c r="B11" s="211" t="s">
        <v>142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214">
        <v>0</v>
      </c>
      <c r="J11" s="89">
        <f t="shared" si="0"/>
        <v>0</v>
      </c>
      <c r="K11" s="212"/>
    </row>
    <row r="12" spans="1:11" x14ac:dyDescent="0.2">
      <c r="A12" s="116">
        <v>440</v>
      </c>
      <c r="B12" s="95" t="s">
        <v>143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214">
        <v>0</v>
      </c>
      <c r="J12" s="89">
        <f t="shared" si="0"/>
        <v>0</v>
      </c>
      <c r="K12" s="92"/>
    </row>
    <row r="13" spans="1:11" x14ac:dyDescent="0.2">
      <c r="A13" s="116">
        <v>500</v>
      </c>
      <c r="B13" s="95" t="s">
        <v>144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214">
        <v>0</v>
      </c>
      <c r="J13" s="89">
        <f t="shared" si="0"/>
        <v>0</v>
      </c>
      <c r="K13" s="92"/>
    </row>
    <row r="14" spans="1:11" x14ac:dyDescent="0.2">
      <c r="A14" s="116">
        <v>600</v>
      </c>
      <c r="B14" s="95" t="s">
        <v>145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214">
        <v>0</v>
      </c>
      <c r="J14" s="89">
        <f t="shared" si="0"/>
        <v>0</v>
      </c>
      <c r="K14" s="92"/>
    </row>
    <row r="15" spans="1:11" x14ac:dyDescent="0.2">
      <c r="A15" s="116">
        <v>800</v>
      </c>
      <c r="B15" s="95" t="s">
        <v>146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214">
        <v>0</v>
      </c>
      <c r="J15" s="89">
        <f t="shared" si="0"/>
        <v>0</v>
      </c>
      <c r="K15" s="92"/>
    </row>
    <row r="16" spans="1:11" x14ac:dyDescent="0.2">
      <c r="A16" s="116">
        <v>910</v>
      </c>
      <c r="B16" s="95" t="s">
        <v>147</v>
      </c>
      <c r="C16" s="89">
        <v>92354</v>
      </c>
      <c r="D16" s="89">
        <v>8328</v>
      </c>
      <c r="E16" s="89">
        <v>78220</v>
      </c>
      <c r="F16" s="89"/>
      <c r="G16" s="89"/>
      <c r="H16" s="89"/>
      <c r="I16" s="214"/>
      <c r="J16" s="89">
        <f t="shared" si="0"/>
        <v>178902</v>
      </c>
      <c r="K16" s="92"/>
    </row>
    <row r="17" spans="1:11" x14ac:dyDescent="0.2">
      <c r="A17" s="116">
        <v>920</v>
      </c>
      <c r="B17" s="95" t="s">
        <v>148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214">
        <v>0</v>
      </c>
      <c r="J17" s="89">
        <f t="shared" si="0"/>
        <v>0</v>
      </c>
      <c r="K17" s="92"/>
    </row>
    <row r="18" spans="1:11" ht="2.25" customHeight="1" x14ac:dyDescent="0.2">
      <c r="A18" s="116"/>
      <c r="B18" s="95"/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214">
        <v>0</v>
      </c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x14ac:dyDescent="0.25">
      <c r="A20" s="215" t="s">
        <v>443</v>
      </c>
      <c r="B20" s="216" t="s">
        <v>444</v>
      </c>
      <c r="C20" s="89">
        <v>1618593</v>
      </c>
      <c r="D20" s="89">
        <v>794040</v>
      </c>
      <c r="E20" s="89">
        <v>2156044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4568677</v>
      </c>
      <c r="K20" s="92"/>
    </row>
    <row r="21" spans="1:11" x14ac:dyDescent="0.2">
      <c r="A21" s="116">
        <v>2100</v>
      </c>
      <c r="B21" s="95" t="s">
        <v>151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214">
        <v>0</v>
      </c>
      <c r="J21" s="89">
        <f t="shared" si="0"/>
        <v>0</v>
      </c>
      <c r="K21" s="92"/>
    </row>
    <row r="22" spans="1:11" x14ac:dyDescent="0.2">
      <c r="A22" s="116">
        <v>2200</v>
      </c>
      <c r="B22" s="95" t="s">
        <v>152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214">
        <v>0</v>
      </c>
      <c r="J22" s="89">
        <f t="shared" si="0"/>
        <v>0</v>
      </c>
      <c r="K22" s="92"/>
    </row>
    <row r="23" spans="1:11" x14ac:dyDescent="0.2">
      <c r="A23" s="116">
        <v>2300</v>
      </c>
      <c r="B23" s="95" t="s">
        <v>153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214">
        <v>0</v>
      </c>
      <c r="J23" s="89">
        <f t="shared" si="0"/>
        <v>0</v>
      </c>
      <c r="K23" s="92"/>
    </row>
    <row r="24" spans="1:11" x14ac:dyDescent="0.2">
      <c r="A24" s="116">
        <v>2400</v>
      </c>
      <c r="B24" s="95" t="s">
        <v>154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214">
        <v>0</v>
      </c>
      <c r="J24" s="89">
        <f t="shared" si="0"/>
        <v>0</v>
      </c>
      <c r="K24" s="92"/>
    </row>
    <row r="25" spans="1:11" x14ac:dyDescent="0.2">
      <c r="A25" s="116">
        <v>2500</v>
      </c>
      <c r="B25" s="95" t="s">
        <v>155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214">
        <v>0</v>
      </c>
      <c r="J25" s="89">
        <f t="shared" si="0"/>
        <v>0</v>
      </c>
      <c r="K25" s="92"/>
    </row>
    <row r="26" spans="1:11" x14ac:dyDescent="0.2">
      <c r="A26" s="116">
        <v>2600</v>
      </c>
      <c r="B26" s="95" t="s">
        <v>156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214">
        <v>0</v>
      </c>
      <c r="J26" s="89">
        <f t="shared" si="0"/>
        <v>0</v>
      </c>
      <c r="K26" s="92"/>
    </row>
    <row r="27" spans="1:11" x14ac:dyDescent="0.2">
      <c r="A27" s="217">
        <v>2700</v>
      </c>
      <c r="B27" s="211" t="s">
        <v>157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214">
        <v>0</v>
      </c>
      <c r="J27" s="89">
        <f t="shared" si="0"/>
        <v>0</v>
      </c>
      <c r="K27" s="212"/>
    </row>
    <row r="28" spans="1:11" x14ac:dyDescent="0.2">
      <c r="A28" s="116">
        <v>2900</v>
      </c>
      <c r="B28" s="95" t="s">
        <v>158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214">
        <v>0</v>
      </c>
      <c r="J28" s="89">
        <f t="shared" si="0"/>
        <v>0</v>
      </c>
      <c r="K28" s="92"/>
    </row>
    <row r="29" spans="1:11" s="204" customFormat="1" ht="15" x14ac:dyDescent="0.25">
      <c r="A29" s="218">
        <v>3000</v>
      </c>
      <c r="B29" s="216" t="s">
        <v>159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214">
        <v>0</v>
      </c>
      <c r="J29" s="89">
        <f t="shared" si="0"/>
        <v>0</v>
      </c>
      <c r="K29" s="219"/>
    </row>
    <row r="30" spans="1:11" x14ac:dyDescent="0.2">
      <c r="A30" s="217">
        <v>3100</v>
      </c>
      <c r="B30" s="211" t="s">
        <v>160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214">
        <v>0</v>
      </c>
      <c r="J30" s="89">
        <f t="shared" si="0"/>
        <v>0</v>
      </c>
      <c r="K30" s="212"/>
    </row>
    <row r="31" spans="1:11" x14ac:dyDescent="0.2">
      <c r="A31" s="116">
        <v>3200</v>
      </c>
      <c r="B31" s="95" t="s">
        <v>161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214">
        <v>0</v>
      </c>
      <c r="J31" s="89">
        <f t="shared" si="0"/>
        <v>0</v>
      </c>
      <c r="K31" s="92"/>
    </row>
    <row r="32" spans="1:11" x14ac:dyDescent="0.2">
      <c r="A32" s="116">
        <v>3300</v>
      </c>
      <c r="B32" s="95" t="s">
        <v>162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214">
        <v>0</v>
      </c>
      <c r="J32" s="89">
        <f t="shared" si="0"/>
        <v>0</v>
      </c>
      <c r="K32" s="92"/>
    </row>
    <row r="33" spans="1:11" s="223" customFormat="1" x14ac:dyDescent="0.2">
      <c r="A33" s="220">
        <v>4100</v>
      </c>
      <c r="B33" s="221" t="s">
        <v>163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214">
        <v>0</v>
      </c>
      <c r="J33" s="89">
        <f t="shared" si="0"/>
        <v>0</v>
      </c>
      <c r="K33" s="222"/>
    </row>
    <row r="34" spans="1:11" s="225" customFormat="1" ht="15" x14ac:dyDescent="0.25">
      <c r="A34" s="220">
        <v>4000</v>
      </c>
      <c r="B34" s="221" t="s">
        <v>164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214">
        <v>0</v>
      </c>
      <c r="J34" s="89">
        <f t="shared" si="0"/>
        <v>0</v>
      </c>
      <c r="K34" s="224"/>
    </row>
    <row r="35" spans="1:11" s="223" customFormat="1" x14ac:dyDescent="0.2">
      <c r="A35" s="220">
        <v>4200</v>
      </c>
      <c r="B35" s="221" t="s">
        <v>165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214">
        <v>0</v>
      </c>
      <c r="J35" s="89">
        <f t="shared" si="0"/>
        <v>0</v>
      </c>
      <c r="K35" s="222"/>
    </row>
    <row r="36" spans="1:11" s="223" customFormat="1" x14ac:dyDescent="0.2">
      <c r="A36" s="220">
        <v>4300</v>
      </c>
      <c r="B36" s="221" t="s">
        <v>166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214">
        <v>0</v>
      </c>
      <c r="J36" s="89">
        <f t="shared" si="0"/>
        <v>0</v>
      </c>
      <c r="K36" s="222"/>
    </row>
    <row r="37" spans="1:11" s="223" customFormat="1" x14ac:dyDescent="0.2">
      <c r="A37" s="220">
        <v>4400</v>
      </c>
      <c r="B37" s="221" t="s">
        <v>167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214">
        <v>0</v>
      </c>
      <c r="J37" s="89">
        <f t="shared" si="0"/>
        <v>0</v>
      </c>
      <c r="K37" s="222"/>
    </row>
    <row r="38" spans="1:11" s="223" customFormat="1" x14ac:dyDescent="0.2">
      <c r="A38" s="220">
        <v>4500</v>
      </c>
      <c r="B38" s="221" t="s">
        <v>168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214">
        <v>0</v>
      </c>
      <c r="J38" s="89">
        <f t="shared" si="0"/>
        <v>0</v>
      </c>
      <c r="K38" s="222"/>
    </row>
    <row r="39" spans="1:11" s="223" customFormat="1" x14ac:dyDescent="0.2">
      <c r="A39" s="220">
        <v>4600</v>
      </c>
      <c r="B39" s="221" t="s">
        <v>169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214">
        <v>0</v>
      </c>
      <c r="J39" s="89">
        <f t="shared" si="0"/>
        <v>0</v>
      </c>
      <c r="K39" s="222"/>
    </row>
    <row r="40" spans="1:11" s="223" customFormat="1" x14ac:dyDescent="0.2">
      <c r="A40" s="220">
        <v>4700</v>
      </c>
      <c r="B40" s="221" t="s">
        <v>170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214">
        <v>0</v>
      </c>
      <c r="J40" s="89">
        <f t="shared" si="0"/>
        <v>0</v>
      </c>
      <c r="K40" s="222"/>
    </row>
    <row r="41" spans="1:11" s="223" customFormat="1" x14ac:dyDescent="0.2">
      <c r="A41" s="220">
        <v>4900</v>
      </c>
      <c r="B41" s="221" t="s">
        <v>171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214">
        <v>0</v>
      </c>
      <c r="J41" s="89">
        <f t="shared" si="0"/>
        <v>0</v>
      </c>
      <c r="K41" s="222"/>
    </row>
    <row r="42" spans="1:11" x14ac:dyDescent="0.2">
      <c r="A42" s="220">
        <v>5000</v>
      </c>
      <c r="B42" s="226" t="s">
        <v>172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214">
        <v>0</v>
      </c>
      <c r="J42" s="89">
        <f t="shared" si="0"/>
        <v>0</v>
      </c>
      <c r="K42" s="92"/>
    </row>
    <row r="43" spans="1:11" x14ac:dyDescent="0.2">
      <c r="A43" s="220">
        <v>5000</v>
      </c>
      <c r="B43" s="226" t="s">
        <v>173</v>
      </c>
      <c r="C43" s="89">
        <v>0</v>
      </c>
      <c r="D43" s="89">
        <v>0</v>
      </c>
      <c r="E43" s="89"/>
      <c r="F43" s="89"/>
      <c r="G43" s="89">
        <v>0</v>
      </c>
      <c r="H43" s="89">
        <v>0</v>
      </c>
      <c r="I43" s="214">
        <v>0</v>
      </c>
      <c r="J43" s="89">
        <f t="shared" si="0"/>
        <v>0</v>
      </c>
      <c r="K43" s="92"/>
    </row>
    <row r="44" spans="1:11" x14ac:dyDescent="0.2">
      <c r="A44" s="220">
        <v>6100</v>
      </c>
      <c r="B44" s="226" t="s">
        <v>174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214">
        <v>0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89">
        <v>0</v>
      </c>
      <c r="D45" s="89">
        <v>0</v>
      </c>
      <c r="E45" s="89">
        <v>0</v>
      </c>
      <c r="F45" s="89">
        <v>214772</v>
      </c>
      <c r="G45" s="89">
        <v>0</v>
      </c>
      <c r="H45" s="89">
        <v>0</v>
      </c>
      <c r="I45" s="214">
        <v>0</v>
      </c>
      <c r="J45" s="89">
        <f t="shared" si="0"/>
        <v>214772</v>
      </c>
      <c r="K45" s="92"/>
    </row>
    <row r="46" spans="1:11" x14ac:dyDescent="0.2">
      <c r="A46" s="116">
        <v>6300</v>
      </c>
      <c r="B46" s="95" t="s">
        <v>176</v>
      </c>
      <c r="C46" s="89">
        <v>0</v>
      </c>
      <c r="D46" s="89">
        <v>0</v>
      </c>
      <c r="E46" s="89">
        <v>0</v>
      </c>
      <c r="F46" s="89">
        <v>0</v>
      </c>
      <c r="G46" s="89">
        <v>555715</v>
      </c>
      <c r="H46" s="89">
        <v>0</v>
      </c>
      <c r="I46" s="214">
        <v>0</v>
      </c>
      <c r="J46" s="89">
        <f t="shared" si="0"/>
        <v>555715</v>
      </c>
      <c r="K46" s="92"/>
    </row>
    <row r="47" spans="1:11" x14ac:dyDescent="0.2">
      <c r="A47" s="116">
        <v>8000</v>
      </c>
      <c r="B47" s="227" t="s">
        <v>177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6884569</v>
      </c>
      <c r="I47" s="214">
        <v>0</v>
      </c>
      <c r="J47" s="89">
        <f t="shared" si="0"/>
        <v>6884569</v>
      </c>
      <c r="K47" s="92"/>
    </row>
    <row r="48" spans="1:11" x14ac:dyDescent="0.2">
      <c r="A48" s="116"/>
      <c r="B48" s="227" t="s">
        <v>445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214">
        <v>0</v>
      </c>
      <c r="J48" s="89">
        <f t="shared" si="0"/>
        <v>0</v>
      </c>
      <c r="K48" s="92"/>
    </row>
    <row r="49" spans="1:11" x14ac:dyDescent="0.2">
      <c r="A49" s="229"/>
      <c r="B49" s="100" t="s">
        <v>446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214">
        <v>0</v>
      </c>
      <c r="J49" s="89">
        <f t="shared" si="0"/>
        <v>0</v>
      </c>
      <c r="K49" s="92"/>
    </row>
    <row r="50" spans="1:11" ht="15" thickBot="1" x14ac:dyDescent="0.25">
      <c r="A50" s="230"/>
      <c r="B50" s="231" t="s">
        <v>255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316">
        <v>0</v>
      </c>
      <c r="J50" s="232">
        <f t="shared" si="0"/>
        <v>0</v>
      </c>
      <c r="K50" s="233"/>
    </row>
    <row r="51" spans="1:11" ht="15.75" thickBot="1" x14ac:dyDescent="0.3">
      <c r="A51" s="234"/>
      <c r="B51" s="235" t="s">
        <v>447</v>
      </c>
      <c r="C51" s="236">
        <f>SUM(C2:C50)</f>
        <v>3487706</v>
      </c>
      <c r="D51" s="236">
        <f>SUM(D2:D50)</f>
        <v>1754219</v>
      </c>
      <c r="E51" s="236">
        <f>SUM(E2:E50)</f>
        <v>2761594</v>
      </c>
      <c r="F51" s="236">
        <f t="shared" ref="F51:I51" si="1">SUM(F2:F50)</f>
        <v>214772</v>
      </c>
      <c r="G51" s="236">
        <f t="shared" si="1"/>
        <v>555715</v>
      </c>
      <c r="H51" s="236">
        <f t="shared" si="1"/>
        <v>6884569</v>
      </c>
      <c r="I51" s="237">
        <f t="shared" si="1"/>
        <v>0</v>
      </c>
      <c r="J51" s="236">
        <f t="shared" si="0"/>
        <v>15658575</v>
      </c>
      <c r="K51" s="239"/>
    </row>
    <row r="52" spans="1:11" ht="15" x14ac:dyDescent="0.25">
      <c r="A52" s="218" t="s">
        <v>448</v>
      </c>
      <c r="B52" s="95"/>
      <c r="C52" s="240">
        <v>0</v>
      </c>
      <c r="D52" s="240">
        <v>0</v>
      </c>
      <c r="E52" s="240">
        <v>753369</v>
      </c>
      <c r="F52" s="240">
        <v>0</v>
      </c>
      <c r="G52" s="240">
        <v>0</v>
      </c>
      <c r="H52" s="240">
        <v>980392</v>
      </c>
      <c r="I52" s="241">
        <v>0</v>
      </c>
      <c r="J52" s="144">
        <f t="shared" si="0"/>
        <v>1733761</v>
      </c>
      <c r="K52" s="112"/>
    </row>
    <row r="53" spans="1:11" ht="15.75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233"/>
    </row>
    <row r="54" spans="1:11" ht="20.25" customHeight="1" thickBot="1" x14ac:dyDescent="0.3">
      <c r="A54" s="245" t="s">
        <v>454</v>
      </c>
      <c r="B54" s="246"/>
      <c r="C54" s="247">
        <f>SUM(C51:C53)</f>
        <v>3487706</v>
      </c>
      <c r="D54" s="247">
        <f t="shared" ref="D54:H54" si="2">SUM(D51:D53)</f>
        <v>1754219</v>
      </c>
      <c r="E54" s="247">
        <f t="shared" si="2"/>
        <v>3514963</v>
      </c>
      <c r="F54" s="247">
        <f t="shared" si="2"/>
        <v>214772</v>
      </c>
      <c r="G54" s="247">
        <f t="shared" si="2"/>
        <v>555715</v>
      </c>
      <c r="H54" s="247">
        <f t="shared" si="2"/>
        <v>7864961</v>
      </c>
      <c r="I54" s="248">
        <f>SUM(I51:I53)</f>
        <v>0</v>
      </c>
      <c r="J54" s="236">
        <f>SUM(C54:I54)</f>
        <v>17392336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hidden="1" x14ac:dyDescent="0.25">
      <c r="A56" s="116"/>
      <c r="B56" s="95" t="s">
        <v>179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214">
        <v>0</v>
      </c>
      <c r="J56" s="89">
        <f t="shared" si="0"/>
        <v>0</v>
      </c>
      <c r="K56" s="249"/>
    </row>
    <row r="57" spans="1:11" ht="15" hidden="1" x14ac:dyDescent="0.25">
      <c r="A57" s="116"/>
      <c r="B57" s="95" t="s">
        <v>145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214">
        <v>0</v>
      </c>
      <c r="J57" s="89">
        <f t="shared" si="0"/>
        <v>0</v>
      </c>
      <c r="K57" s="249"/>
    </row>
    <row r="58" spans="1:11" ht="15" hidden="1" x14ac:dyDescent="0.25">
      <c r="A58" s="116"/>
      <c r="B58" s="95" t="s">
        <v>180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214">
        <v>0</v>
      </c>
      <c r="J58" s="89">
        <f t="shared" si="0"/>
        <v>0</v>
      </c>
      <c r="K58" s="249"/>
    </row>
    <row r="59" spans="1:11" ht="15" hidden="1" x14ac:dyDescent="0.25">
      <c r="A59" s="116"/>
      <c r="B59" s="95" t="s">
        <v>181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214">
        <v>0</v>
      </c>
      <c r="J59" s="89">
        <f t="shared" si="0"/>
        <v>0</v>
      </c>
      <c r="K59" s="249"/>
    </row>
    <row r="60" spans="1:11" ht="15" hidden="1" x14ac:dyDescent="0.25">
      <c r="A60" s="116"/>
      <c r="B60" s="95" t="s">
        <v>182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214">
        <v>0</v>
      </c>
      <c r="J60" s="89">
        <f t="shared" si="0"/>
        <v>0</v>
      </c>
      <c r="K60" s="249"/>
    </row>
    <row r="61" spans="1:11" ht="15" hidden="1" x14ac:dyDescent="0.25">
      <c r="A61" s="251"/>
      <c r="B61" s="100" t="s">
        <v>183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214">
        <v>0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184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214">
        <v>0</v>
      </c>
      <c r="J62" s="89">
        <f t="shared" si="0"/>
        <v>0</v>
      </c>
      <c r="K62" s="249"/>
    </row>
    <row r="63" spans="1:11" ht="15" hidden="1" x14ac:dyDescent="0.25">
      <c r="A63" s="251"/>
      <c r="B63" s="100" t="s">
        <v>185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214">
        <v>0</v>
      </c>
      <c r="J63" s="89">
        <f t="shared" si="0"/>
        <v>0</v>
      </c>
      <c r="K63" s="249"/>
    </row>
    <row r="64" spans="1:11" ht="15" hidden="1" x14ac:dyDescent="0.25">
      <c r="A64" s="251"/>
      <c r="B64" s="100" t="s">
        <v>186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214">
        <v>0</v>
      </c>
      <c r="J64" s="89">
        <f t="shared" si="0"/>
        <v>0</v>
      </c>
      <c r="K64" s="249"/>
    </row>
    <row r="65" spans="1:11" ht="15" hidden="1" x14ac:dyDescent="0.25">
      <c r="A65" s="251"/>
      <c r="B65" s="100" t="s">
        <v>187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214">
        <v>0</v>
      </c>
      <c r="J65" s="89">
        <f t="shared" si="0"/>
        <v>0</v>
      </c>
      <c r="K65" s="249"/>
    </row>
    <row r="66" spans="1:11" ht="15" x14ac:dyDescent="0.25">
      <c r="A66" s="251"/>
      <c r="B66" s="100" t="s">
        <v>188</v>
      </c>
      <c r="C66" s="89">
        <v>0</v>
      </c>
      <c r="D66" s="89">
        <v>0</v>
      </c>
      <c r="E66" s="89">
        <v>511941</v>
      </c>
      <c r="F66" s="89">
        <v>0</v>
      </c>
      <c r="G66" s="89">
        <v>0</v>
      </c>
      <c r="H66" s="89">
        <v>0</v>
      </c>
      <c r="I66" s="214">
        <v>0</v>
      </c>
      <c r="J66" s="89">
        <f t="shared" si="0"/>
        <v>511941</v>
      </c>
      <c r="K66" s="249"/>
    </row>
    <row r="67" spans="1:11" ht="15" hidden="1" x14ac:dyDescent="0.25">
      <c r="A67" s="251"/>
      <c r="B67" s="100" t="s">
        <v>189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214">
        <v>0</v>
      </c>
      <c r="J67" s="89">
        <f t="shared" si="0"/>
        <v>0</v>
      </c>
      <c r="K67" s="249"/>
    </row>
    <row r="68" spans="1:11" ht="15" hidden="1" x14ac:dyDescent="0.25">
      <c r="A68" s="116"/>
      <c r="B68" s="95" t="s">
        <v>190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214">
        <v>0</v>
      </c>
      <c r="J68" s="89">
        <f t="shared" ref="J68:J131" si="3">SUM(C68:I68)</f>
        <v>0</v>
      </c>
      <c r="K68" s="249"/>
    </row>
    <row r="69" spans="1:11" ht="15" hidden="1" x14ac:dyDescent="0.25">
      <c r="A69" s="116"/>
      <c r="B69" s="95" t="s">
        <v>191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214">
        <v>0</v>
      </c>
      <c r="J69" s="89">
        <f t="shared" si="3"/>
        <v>0</v>
      </c>
      <c r="K69" s="249"/>
    </row>
    <row r="70" spans="1:11" ht="15" hidden="1" x14ac:dyDescent="0.25">
      <c r="A70" s="116"/>
      <c r="B70" s="95" t="s">
        <v>192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214">
        <v>0</v>
      </c>
      <c r="J70" s="89">
        <f t="shared" si="3"/>
        <v>0</v>
      </c>
      <c r="K70" s="249"/>
    </row>
    <row r="71" spans="1:11" ht="15" hidden="1" x14ac:dyDescent="0.25">
      <c r="A71" s="116"/>
      <c r="B71" s="95" t="s">
        <v>193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214">
        <v>0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198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214">
        <v>0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200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201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214">
        <v>0</v>
      </c>
      <c r="J79" s="89">
        <f t="shared" si="3"/>
        <v>0</v>
      </c>
      <c r="K79" s="249"/>
    </row>
    <row r="80" spans="1:11" ht="15" x14ac:dyDescent="0.25">
      <c r="A80" s="116"/>
      <c r="B80" s="95" t="s">
        <v>202</v>
      </c>
      <c r="C80" s="89">
        <v>0</v>
      </c>
      <c r="D80" s="89">
        <v>0</v>
      </c>
      <c r="E80" s="89">
        <v>700</v>
      </c>
      <c r="F80" s="89">
        <v>0</v>
      </c>
      <c r="G80" s="89">
        <v>0</v>
      </c>
      <c r="H80" s="89">
        <v>97159</v>
      </c>
      <c r="I80" s="214">
        <v>0</v>
      </c>
      <c r="J80" s="89">
        <f t="shared" si="3"/>
        <v>97859</v>
      </c>
      <c r="K80" s="249"/>
    </row>
    <row r="81" spans="1:12" ht="15" hidden="1" x14ac:dyDescent="0.25">
      <c r="A81" s="116"/>
      <c r="B81" s="95" t="s">
        <v>203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214">
        <v>0</v>
      </c>
      <c r="J81" s="89">
        <f t="shared" si="3"/>
        <v>0</v>
      </c>
      <c r="K81" s="249"/>
    </row>
    <row r="82" spans="1:12" ht="15" hidden="1" x14ac:dyDescent="0.25">
      <c r="A82" s="116"/>
      <c r="B82" s="95" t="s">
        <v>204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214">
        <v>0</v>
      </c>
      <c r="J82" s="89">
        <f t="shared" si="3"/>
        <v>0</v>
      </c>
      <c r="K82" s="249"/>
    </row>
    <row r="83" spans="1:12" ht="15" x14ac:dyDescent="0.25">
      <c r="A83" s="116"/>
      <c r="B83" s="95" t="s">
        <v>205</v>
      </c>
      <c r="C83" s="89">
        <v>165604</v>
      </c>
      <c r="D83" s="89">
        <v>97544</v>
      </c>
      <c r="E83" s="89">
        <v>333653</v>
      </c>
      <c r="F83" s="89">
        <v>0</v>
      </c>
      <c r="G83" s="89">
        <v>0</v>
      </c>
      <c r="H83" s="89">
        <v>0</v>
      </c>
      <c r="I83" s="214">
        <v>0</v>
      </c>
      <c r="J83" s="89">
        <f t="shared" si="3"/>
        <v>596801</v>
      </c>
      <c r="K83" s="249"/>
    </row>
    <row r="84" spans="1:12" hidden="1" x14ac:dyDescent="0.2">
      <c r="A84" s="116"/>
      <c r="B84" s="95" t="s">
        <v>206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214">
        <v>0</v>
      </c>
      <c r="J84" s="89">
        <f t="shared" si="3"/>
        <v>0</v>
      </c>
      <c r="K84" s="252"/>
    </row>
    <row r="85" spans="1:12" hidden="1" x14ac:dyDescent="0.2">
      <c r="A85" s="116"/>
      <c r="B85" s="95" t="s">
        <v>207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214">
        <v>0</v>
      </c>
      <c r="J85" s="89">
        <f t="shared" si="3"/>
        <v>0</v>
      </c>
      <c r="K85" s="252"/>
    </row>
    <row r="86" spans="1:12" ht="15" hidden="1" x14ac:dyDescent="0.25">
      <c r="A86" s="116"/>
      <c r="B86" s="95" t="s">
        <v>208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214">
        <v>0</v>
      </c>
      <c r="J86" s="89">
        <f t="shared" si="3"/>
        <v>0</v>
      </c>
      <c r="K86" s="249"/>
    </row>
    <row r="87" spans="1:12" ht="15" hidden="1" x14ac:dyDescent="0.25">
      <c r="A87" s="116"/>
      <c r="B87" s="95" t="s">
        <v>209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214">
        <v>0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210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214">
        <v>0</v>
      </c>
      <c r="J88" s="89">
        <f t="shared" si="3"/>
        <v>0</v>
      </c>
      <c r="K88" s="249"/>
      <c r="L88" s="77"/>
    </row>
    <row r="89" spans="1:12" ht="15" hidden="1" x14ac:dyDescent="0.25">
      <c r="A89" s="116"/>
      <c r="B89" s="95" t="s">
        <v>211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214">
        <v>0</v>
      </c>
      <c r="J89" s="89">
        <f t="shared" si="3"/>
        <v>0</v>
      </c>
      <c r="K89" s="249"/>
      <c r="L89" s="77"/>
    </row>
    <row r="90" spans="1:12" ht="15" hidden="1" x14ac:dyDescent="0.25">
      <c r="A90" s="116"/>
      <c r="B90" s="95" t="s">
        <v>212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214">
        <v>0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213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214">
        <v>0</v>
      </c>
      <c r="J91" s="89">
        <f t="shared" si="3"/>
        <v>0</v>
      </c>
      <c r="K91" s="249"/>
      <c r="L91" s="77"/>
    </row>
    <row r="92" spans="1:12" x14ac:dyDescent="0.2">
      <c r="A92" s="116"/>
      <c r="B92" s="95" t="s">
        <v>214</v>
      </c>
      <c r="C92" s="89">
        <v>259744</v>
      </c>
      <c r="D92" s="89">
        <v>134723</v>
      </c>
      <c r="E92" s="89">
        <v>527420</v>
      </c>
      <c r="F92" s="89">
        <v>0</v>
      </c>
      <c r="G92" s="89">
        <v>0</v>
      </c>
      <c r="H92" s="89">
        <v>0</v>
      </c>
      <c r="I92" s="214">
        <v>0</v>
      </c>
      <c r="J92" s="89">
        <f t="shared" si="3"/>
        <v>921887</v>
      </c>
      <c r="K92" s="252"/>
    </row>
    <row r="93" spans="1:12" hidden="1" x14ac:dyDescent="0.2">
      <c r="A93" s="116"/>
      <c r="B93" s="95" t="s">
        <v>215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214">
        <v>0</v>
      </c>
      <c r="J93" s="89">
        <f t="shared" si="3"/>
        <v>0</v>
      </c>
      <c r="K93" s="252"/>
    </row>
    <row r="94" spans="1:12" hidden="1" x14ac:dyDescent="0.2">
      <c r="A94" s="116"/>
      <c r="B94" s="95" t="s">
        <v>216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214">
        <v>0</v>
      </c>
      <c r="J94" s="89">
        <f t="shared" si="3"/>
        <v>0</v>
      </c>
      <c r="K94" s="252"/>
    </row>
    <row r="95" spans="1:12" hidden="1" x14ac:dyDescent="0.2">
      <c r="A95" s="116"/>
      <c r="B95" s="95" t="s">
        <v>217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214">
        <v>0</v>
      </c>
      <c r="J95" s="89">
        <f t="shared" si="3"/>
        <v>0</v>
      </c>
      <c r="K95" s="252"/>
    </row>
    <row r="96" spans="1:12" hidden="1" x14ac:dyDescent="0.2">
      <c r="A96" s="116"/>
      <c r="B96" s="95" t="s">
        <v>218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214">
        <v>0</v>
      </c>
      <c r="J96" s="89">
        <f t="shared" si="3"/>
        <v>0</v>
      </c>
      <c r="K96" s="252"/>
    </row>
    <row r="97" spans="1:11" hidden="1" x14ac:dyDescent="0.2">
      <c r="A97" s="116"/>
      <c r="B97" s="95" t="s">
        <v>219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214">
        <v>0</v>
      </c>
      <c r="J97" s="89">
        <f t="shared" si="3"/>
        <v>0</v>
      </c>
      <c r="K97" s="252"/>
    </row>
    <row r="98" spans="1:11" ht="15" hidden="1" x14ac:dyDescent="0.25">
      <c r="A98" s="251"/>
      <c r="B98" s="100" t="s">
        <v>220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214">
        <v>0</v>
      </c>
      <c r="J98" s="89">
        <f t="shared" si="3"/>
        <v>0</v>
      </c>
      <c r="K98" s="249"/>
    </row>
    <row r="99" spans="1:11" ht="15" hidden="1" x14ac:dyDescent="0.25">
      <c r="A99" s="251"/>
      <c r="B99" s="100" t="s">
        <v>221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214">
        <v>0</v>
      </c>
      <c r="J99" s="89">
        <f t="shared" si="3"/>
        <v>0</v>
      </c>
      <c r="K99" s="249"/>
    </row>
    <row r="100" spans="1:11" hidden="1" x14ac:dyDescent="0.2">
      <c r="A100" s="210" t="s">
        <v>10</v>
      </c>
      <c r="B100" s="211" t="s">
        <v>142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214">
        <v>0</v>
      </c>
      <c r="J100" s="89">
        <f t="shared" si="3"/>
        <v>0</v>
      </c>
      <c r="K100" s="255"/>
    </row>
    <row r="101" spans="1:11" hidden="1" x14ac:dyDescent="0.2">
      <c r="A101" s="210" t="s">
        <v>10</v>
      </c>
      <c r="B101" s="211" t="s">
        <v>141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214">
        <v>0</v>
      </c>
      <c r="J101" s="89">
        <f t="shared" si="3"/>
        <v>0</v>
      </c>
      <c r="K101" s="255"/>
    </row>
    <row r="102" spans="1:11" hidden="1" x14ac:dyDescent="0.2">
      <c r="A102" s="210" t="s">
        <v>33</v>
      </c>
      <c r="B102" s="211" t="s">
        <v>222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hidden="1" x14ac:dyDescent="0.2">
      <c r="A103" s="210" t="s">
        <v>10</v>
      </c>
      <c r="B103" s="211" t="s">
        <v>138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0</v>
      </c>
      <c r="J103" s="89">
        <f t="shared" si="3"/>
        <v>0</v>
      </c>
      <c r="K103" s="255"/>
    </row>
    <row r="104" spans="1:11" hidden="1" x14ac:dyDescent="0.2">
      <c r="A104" s="210" t="s">
        <v>10</v>
      </c>
      <c r="B104" s="211" t="s">
        <v>136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214">
        <v>0</v>
      </c>
      <c r="J104" s="89">
        <f t="shared" si="3"/>
        <v>0</v>
      </c>
      <c r="K104" s="255"/>
    </row>
    <row r="105" spans="1:11" hidden="1" x14ac:dyDescent="0.2">
      <c r="A105" s="257"/>
      <c r="B105" s="95" t="s">
        <v>223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252"/>
    </row>
    <row r="106" spans="1:11" hidden="1" x14ac:dyDescent="0.2">
      <c r="A106" s="257"/>
      <c r="B106" s="95" t="s">
        <v>224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252"/>
    </row>
    <row r="107" spans="1:11" hidden="1" x14ac:dyDescent="0.2">
      <c r="A107" s="257"/>
      <c r="B107" s="95" t="s">
        <v>225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214">
        <v>0</v>
      </c>
      <c r="J107" s="89">
        <f t="shared" si="3"/>
        <v>0</v>
      </c>
      <c r="K107" s="252"/>
    </row>
    <row r="108" spans="1:11" hidden="1" x14ac:dyDescent="0.2">
      <c r="A108" s="257"/>
      <c r="B108" s="95" t="s">
        <v>226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252"/>
    </row>
    <row r="109" spans="1:11" ht="15" hidden="1" x14ac:dyDescent="0.25">
      <c r="A109" s="116"/>
      <c r="B109" s="95" t="s">
        <v>227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0</v>
      </c>
      <c r="J109" s="89">
        <f t="shared" si="3"/>
        <v>0</v>
      </c>
      <c r="K109" s="249"/>
    </row>
    <row r="110" spans="1:11" ht="15" hidden="1" x14ac:dyDescent="0.25">
      <c r="A110" s="116"/>
      <c r="B110" s="95" t="s">
        <v>228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214">
        <v>0</v>
      </c>
      <c r="J110" s="89">
        <f t="shared" si="3"/>
        <v>0</v>
      </c>
      <c r="K110" s="249"/>
    </row>
    <row r="111" spans="1:11" ht="15" hidden="1" x14ac:dyDescent="0.25">
      <c r="A111" s="116"/>
      <c r="B111" s="95" t="s">
        <v>229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214">
        <v>0</v>
      </c>
      <c r="J111" s="89">
        <f t="shared" si="3"/>
        <v>0</v>
      </c>
      <c r="K111" s="249"/>
    </row>
    <row r="112" spans="1:11" ht="15" hidden="1" x14ac:dyDescent="0.25">
      <c r="A112" s="116"/>
      <c r="B112" s="95" t="s">
        <v>230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231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232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0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233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234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49"/>
    </row>
    <row r="117" spans="1:11" ht="15" x14ac:dyDescent="0.25">
      <c r="A117" s="116"/>
      <c r="B117" s="95" t="s">
        <v>9</v>
      </c>
      <c r="C117" s="89">
        <v>404360</v>
      </c>
      <c r="D117" s="89">
        <v>164790</v>
      </c>
      <c r="E117" s="89">
        <v>82991</v>
      </c>
      <c r="F117" s="89">
        <v>0</v>
      </c>
      <c r="G117" s="89">
        <v>0</v>
      </c>
      <c r="H117" s="89">
        <v>0</v>
      </c>
      <c r="I117" s="214">
        <v>0</v>
      </c>
      <c r="J117" s="89">
        <f t="shared" si="3"/>
        <v>652141</v>
      </c>
      <c r="K117" s="249"/>
    </row>
    <row r="118" spans="1:11" ht="15" hidden="1" x14ac:dyDescent="0.25">
      <c r="A118" s="116"/>
      <c r="B118" s="95" t="s">
        <v>235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214">
        <v>0</v>
      </c>
      <c r="J118" s="89">
        <f t="shared" si="3"/>
        <v>0</v>
      </c>
      <c r="K118" s="249"/>
    </row>
    <row r="119" spans="1:11" ht="15" hidden="1" x14ac:dyDescent="0.25">
      <c r="A119" s="116"/>
      <c r="B119" s="95" t="s">
        <v>236</v>
      </c>
      <c r="C119" s="89">
        <v>0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214">
        <v>0</v>
      </c>
      <c r="J119" s="89">
        <f t="shared" si="3"/>
        <v>0</v>
      </c>
      <c r="K119" s="249"/>
    </row>
    <row r="120" spans="1:11" ht="15" hidden="1" x14ac:dyDescent="0.25">
      <c r="A120" s="116"/>
      <c r="B120" s="95" t="s">
        <v>237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214">
        <v>0</v>
      </c>
      <c r="J120" s="89">
        <f t="shared" si="3"/>
        <v>0</v>
      </c>
      <c r="K120" s="249"/>
    </row>
    <row r="121" spans="1:11" ht="15" x14ac:dyDescent="0.25">
      <c r="A121" s="116"/>
      <c r="B121" s="95" t="s">
        <v>238</v>
      </c>
      <c r="C121" s="89">
        <v>0</v>
      </c>
      <c r="D121" s="89">
        <v>0</v>
      </c>
      <c r="E121" s="89">
        <v>35567</v>
      </c>
      <c r="F121" s="89">
        <v>0</v>
      </c>
      <c r="G121" s="89">
        <v>0</v>
      </c>
      <c r="H121" s="89">
        <v>0</v>
      </c>
      <c r="I121" s="214">
        <v>0</v>
      </c>
      <c r="J121" s="89">
        <f t="shared" si="3"/>
        <v>35567</v>
      </c>
      <c r="K121" s="249"/>
    </row>
    <row r="122" spans="1:11" ht="15" hidden="1" x14ac:dyDescent="0.25">
      <c r="A122" s="251"/>
      <c r="B122" s="100" t="s">
        <v>239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251"/>
      <c r="B123" s="100" t="s">
        <v>240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0</v>
      </c>
      <c r="J123" s="89">
        <f t="shared" si="3"/>
        <v>0</v>
      </c>
      <c r="K123" s="249"/>
    </row>
    <row r="124" spans="1:11" ht="15" hidden="1" x14ac:dyDescent="0.25">
      <c r="A124" s="251"/>
      <c r="B124" s="100" t="s">
        <v>241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8"/>
      <c r="B125" s="244" t="s">
        <v>242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243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214">
        <v>0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244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x14ac:dyDescent="0.25">
      <c r="A128" s="260" t="s">
        <v>245</v>
      </c>
      <c r="B128" s="317"/>
      <c r="C128" s="89"/>
      <c r="D128" s="89"/>
      <c r="E128" s="89"/>
      <c r="F128" s="89"/>
      <c r="G128" s="89"/>
      <c r="H128" s="89"/>
      <c r="I128" s="214"/>
      <c r="J128" s="89"/>
      <c r="K128" s="249"/>
    </row>
    <row r="129" spans="1:11" ht="15" hidden="1" x14ac:dyDescent="0.25">
      <c r="A129" s="116"/>
      <c r="B129" s="95" t="s">
        <v>246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214">
        <v>0</v>
      </c>
      <c r="J129" s="89">
        <f t="shared" si="3"/>
        <v>0</v>
      </c>
      <c r="K129" s="249"/>
    </row>
    <row r="130" spans="1:11" hidden="1" x14ac:dyDescent="0.2">
      <c r="A130" s="251"/>
      <c r="B130" s="100" t="s">
        <v>247</v>
      </c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214">
        <v>0</v>
      </c>
      <c r="J130" s="89">
        <f t="shared" si="3"/>
        <v>0</v>
      </c>
      <c r="K130" s="252"/>
    </row>
    <row r="131" spans="1:11" hidden="1" x14ac:dyDescent="0.2">
      <c r="A131" s="116"/>
      <c r="B131" s="95" t="s">
        <v>248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249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ref="J132:J146" si="4">SUM(C132:I132)</f>
        <v>0</v>
      </c>
      <c r="K132" s="252"/>
    </row>
    <row r="133" spans="1:11" hidden="1" x14ac:dyDescent="0.2">
      <c r="A133" s="116"/>
      <c r="B133" s="95" t="s">
        <v>250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214">
        <v>0</v>
      </c>
      <c r="J133" s="89">
        <f t="shared" si="4"/>
        <v>0</v>
      </c>
      <c r="K133" s="92"/>
    </row>
    <row r="134" spans="1:11" hidden="1" x14ac:dyDescent="0.2">
      <c r="A134" s="116"/>
      <c r="B134" s="95" t="s">
        <v>251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252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253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254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255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256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257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hidden="1" x14ac:dyDescent="0.2">
      <c r="A141" s="116"/>
      <c r="B141" s="95" t="s">
        <v>258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0</v>
      </c>
      <c r="J141" s="89">
        <f t="shared" si="4"/>
        <v>0</v>
      </c>
      <c r="K141" s="92"/>
    </row>
    <row r="142" spans="1:11" hidden="1" x14ac:dyDescent="0.2">
      <c r="A142" s="116"/>
      <c r="B142" s="95" t="s">
        <v>259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214">
        <v>0</v>
      </c>
      <c r="J142" s="89">
        <f t="shared" si="4"/>
        <v>0</v>
      </c>
      <c r="K142" s="92"/>
    </row>
    <row r="143" spans="1:11" hidden="1" x14ac:dyDescent="0.2">
      <c r="A143" s="116"/>
      <c r="B143" s="95" t="s">
        <v>260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214">
        <v>0</v>
      </c>
      <c r="J143" s="89">
        <f t="shared" si="4"/>
        <v>0</v>
      </c>
      <c r="K143" s="92"/>
    </row>
    <row r="144" spans="1:11" ht="15.75" thickBot="1" x14ac:dyDescent="0.3">
      <c r="A144" s="261" t="s">
        <v>456</v>
      </c>
      <c r="B144" s="262"/>
      <c r="C144" s="263">
        <f>SUM(C55:C143)</f>
        <v>829708</v>
      </c>
      <c r="D144" s="263">
        <f t="shared" ref="D144:H144" si="5">SUM(D55:D143)</f>
        <v>397057</v>
      </c>
      <c r="E144" s="263">
        <f t="shared" si="5"/>
        <v>1492272</v>
      </c>
      <c r="F144" s="263">
        <f t="shared" si="5"/>
        <v>0</v>
      </c>
      <c r="G144" s="263">
        <f t="shared" si="5"/>
        <v>0</v>
      </c>
      <c r="H144" s="263">
        <f t="shared" si="5"/>
        <v>97159</v>
      </c>
      <c r="I144" s="264">
        <f>SUM(I55:I143)</f>
        <v>0</v>
      </c>
      <c r="J144" s="265">
        <f t="shared" si="4"/>
        <v>2816196</v>
      </c>
      <c r="K144" s="266"/>
    </row>
    <row r="145" spans="1:10" ht="18.75" customHeight="1" thickBot="1" x14ac:dyDescent="0.3">
      <c r="A145" s="245" t="s">
        <v>457</v>
      </c>
      <c r="B145" s="246"/>
      <c r="C145" s="247">
        <f>C54+C144</f>
        <v>4317414</v>
      </c>
      <c r="D145" s="247">
        <f t="shared" ref="D145:I145" si="6">D54+D144</f>
        <v>2151276</v>
      </c>
      <c r="E145" s="247">
        <f t="shared" si="6"/>
        <v>5007235</v>
      </c>
      <c r="F145" s="247">
        <f t="shared" si="6"/>
        <v>214772</v>
      </c>
      <c r="G145" s="247">
        <f t="shared" si="6"/>
        <v>555715</v>
      </c>
      <c r="H145" s="247">
        <f t="shared" si="6"/>
        <v>7962120</v>
      </c>
      <c r="I145" s="248">
        <f t="shared" si="6"/>
        <v>0</v>
      </c>
      <c r="J145" s="236">
        <f t="shared" si="4"/>
        <v>20208532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0</v>
      </c>
      <c r="F146" s="269">
        <v>-214772</v>
      </c>
      <c r="G146" s="269">
        <v>0</v>
      </c>
      <c r="H146" s="269">
        <v>0</v>
      </c>
      <c r="I146" s="270">
        <v>0</v>
      </c>
      <c r="J146" s="144">
        <f t="shared" si="4"/>
        <v>-214772</v>
      </c>
    </row>
    <row r="147" spans="1:10" ht="21.75" customHeight="1" thickBot="1" x14ac:dyDescent="0.3">
      <c r="A147" s="271" t="s">
        <v>459</v>
      </c>
      <c r="B147" s="103"/>
      <c r="C147" s="272">
        <f>C145+C146</f>
        <v>4317414</v>
      </c>
      <c r="D147" s="272">
        <f t="shared" ref="D147:I147" si="7">D145+D146</f>
        <v>2151276</v>
      </c>
      <c r="E147" s="272">
        <f t="shared" si="7"/>
        <v>5007235</v>
      </c>
      <c r="F147" s="272">
        <f t="shared" si="7"/>
        <v>0</v>
      </c>
      <c r="G147" s="272">
        <f t="shared" si="7"/>
        <v>555715</v>
      </c>
      <c r="H147" s="272">
        <f t="shared" si="7"/>
        <v>7962120</v>
      </c>
      <c r="I147" s="272">
        <f t="shared" si="7"/>
        <v>0</v>
      </c>
      <c r="J147" s="272">
        <f>SUM(C147:I147)</f>
        <v>19993760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74"/>
      <c r="J148" s="274"/>
    </row>
    <row r="149" spans="1:10" x14ac:dyDescent="0.2">
      <c r="A149" s="275"/>
      <c r="B149" s="191" t="str">
        <f>'PCFP - All Revenue AA-1 R-15'!C81</f>
        <v>Storey County School District</v>
      </c>
      <c r="C149" s="274" t="s">
        <v>428</v>
      </c>
      <c r="D149" s="274"/>
      <c r="E149" s="276"/>
      <c r="F149" s="276"/>
      <c r="G149" s="276"/>
      <c r="H149" s="274"/>
      <c r="J149" s="278" t="str">
        <f>"Budget Fiscal Year "&amp;TEXT('[15]Form 1'!$C$136, "mm/dd/yy")</f>
        <v>Budget Fiscal Year 2019-2020</v>
      </c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H150" s="274"/>
      <c r="J150" s="280" t="s">
        <v>461</v>
      </c>
    </row>
    <row r="151" spans="1:10" x14ac:dyDescent="0.2">
      <c r="H151" s="280"/>
      <c r="I151" s="280"/>
      <c r="J151" s="191"/>
    </row>
  </sheetData>
  <pageMargins left="0.55000000000000004" right="0" top="0.5" bottom="0.25" header="0.5" footer="0"/>
  <pageSetup scale="73" fitToHeight="3" orientation="landscape" r:id="rId1"/>
  <headerFooter alignWithMargins="0">
    <oddFooter>&amp;C&amp;8FORM 4405LGF
Last Revised &amp;D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88988-C51B-4850-9EF0-4E57089F3F66}">
  <dimension ref="A2:I17"/>
  <sheetViews>
    <sheetView showGridLines="0" workbookViewId="0">
      <selection activeCell="E31" sqref="E31"/>
    </sheetView>
  </sheetViews>
  <sheetFormatPr defaultRowHeight="12.75" x14ac:dyDescent="0.2"/>
  <cols>
    <col min="1" max="1" width="5.140625" customWidth="1"/>
    <col min="2" max="2" width="5.28515625" customWidth="1"/>
  </cols>
  <sheetData>
    <row r="2" spans="1:9" ht="18" x14ac:dyDescent="0.25">
      <c r="A2" s="6" t="s">
        <v>750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8" spans="1:9" x14ac:dyDescent="0.2">
      <c r="B8" s="3"/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DC246-D139-4F41-BB08-16A1C1F8E9A6}">
  <dimension ref="A2:I19"/>
  <sheetViews>
    <sheetView showGridLines="0" zoomScaleNormal="100" workbookViewId="0">
      <selection activeCell="O30" sqref="O30"/>
    </sheetView>
  </sheetViews>
  <sheetFormatPr defaultRowHeight="12.75" x14ac:dyDescent="0.2"/>
  <sheetData>
    <row r="2" spans="1:9" ht="18" x14ac:dyDescent="0.25">
      <c r="A2" s="6" t="s">
        <v>462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  <row r="19" spans="2:2" x14ac:dyDescent="0.2">
      <c r="B19" s="3" t="s">
        <v>463</v>
      </c>
    </row>
  </sheetData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FA28A-A332-4275-BFDC-D6C1B3979C48}">
  <dimension ref="A1:G163"/>
  <sheetViews>
    <sheetView showGridLines="0" zoomScale="85" zoomScaleNormal="85" workbookViewId="0">
      <selection activeCell="C21" sqref="C21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20.7109375" style="12" bestFit="1" customWidth="1"/>
    <col min="4" max="4" width="27.140625" style="12" bestFit="1" customWidth="1"/>
    <col min="5" max="5" width="18.7109375" bestFit="1" customWidth="1"/>
    <col min="6" max="6" width="16.710937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535" t="s">
        <v>751</v>
      </c>
      <c r="D1" s="10" t="s">
        <v>119</v>
      </c>
    </row>
    <row r="3" spans="1:5" x14ac:dyDescent="0.2">
      <c r="B3" s="2" t="s">
        <v>120</v>
      </c>
      <c r="C3" s="19" t="s">
        <v>545</v>
      </c>
      <c r="D3" s="19" t="s">
        <v>546</v>
      </c>
      <c r="E3" s="1" t="s">
        <v>593</v>
      </c>
    </row>
    <row r="4" spans="1:5" x14ac:dyDescent="0.2">
      <c r="B4" s="3"/>
    </row>
    <row r="5" spans="1:5" x14ac:dyDescent="0.2">
      <c r="B5" s="16" t="s">
        <v>124</v>
      </c>
      <c r="C5" s="12">
        <f>'19_20 District Budget Summ-16'!W36</f>
        <v>634644127</v>
      </c>
      <c r="D5" s="12">
        <f>SUM('PCFP - All Revenue AA-1 R-16'!F33,'PCFP - All Revenue AA-1 R-16'!H33)</f>
        <v>278646565</v>
      </c>
      <c r="E5" s="17">
        <f>D5-C5</f>
        <v>-355997562</v>
      </c>
    </row>
    <row r="6" spans="1:5" x14ac:dyDescent="0.2">
      <c r="E6" s="17"/>
    </row>
    <row r="7" spans="1:5" x14ac:dyDescent="0.2">
      <c r="B7" s="16" t="s">
        <v>125</v>
      </c>
      <c r="C7" s="12">
        <f>'19_20 District Budget Summ-16'!W50</f>
        <v>206722922</v>
      </c>
      <c r="D7" s="12">
        <f>SUM('PCFP - All Revenue AA-1 R-16'!F49,'PCFP - All Revenue AA-1 R-16'!H49)</f>
        <v>565893577.43716097</v>
      </c>
      <c r="E7" s="17">
        <f>D7-C7</f>
        <v>359170655.43716097</v>
      </c>
    </row>
    <row r="8" spans="1:5" x14ac:dyDescent="0.2">
      <c r="E8" s="17"/>
    </row>
    <row r="9" spans="1:5" x14ac:dyDescent="0.2">
      <c r="B9" s="16" t="s">
        <v>126</v>
      </c>
      <c r="C9" s="12">
        <f>'19_20 District Budget Summ-16'!W65</f>
        <v>68186831</v>
      </c>
      <c r="D9" s="12">
        <f>SUM('PCFP - All Revenue AA-1 R-16'!F59,'PCFP - All Revenue AA-1 R-16'!H59)</f>
        <v>62122445</v>
      </c>
      <c r="E9" s="17">
        <f>D9-C9</f>
        <v>-6064386</v>
      </c>
    </row>
    <row r="10" spans="1:5" x14ac:dyDescent="0.2">
      <c r="E10" s="17"/>
    </row>
    <row r="11" spans="1:5" x14ac:dyDescent="0.2">
      <c r="B11" s="16" t="s">
        <v>127</v>
      </c>
      <c r="C11" s="12">
        <f>'19_20 District Budget Summ-16'!W72</f>
        <v>320294156</v>
      </c>
      <c r="D11" s="12">
        <f>SUM('PCFP - All Revenue AA-1 R-16'!F69,'PCFP - All Revenue AA-1 R-16'!H69)</f>
        <v>413829772</v>
      </c>
      <c r="E11" s="17">
        <f>D11-C11</f>
        <v>93535616</v>
      </c>
    </row>
    <row r="12" spans="1:5" x14ac:dyDescent="0.2">
      <c r="E12" s="17"/>
    </row>
    <row r="13" spans="1:5" s="2" customFormat="1" x14ac:dyDescent="0.2">
      <c r="B13" s="18" t="s">
        <v>128</v>
      </c>
      <c r="C13" s="19">
        <f t="shared" ref="C13:D13" si="0">SUM(C5:C12)</f>
        <v>1229848036</v>
      </c>
      <c r="D13" s="19">
        <f t="shared" si="0"/>
        <v>1320492359.437161</v>
      </c>
      <c r="E13" s="20">
        <f>D13-C13</f>
        <v>90644323.437160969</v>
      </c>
    </row>
    <row r="15" spans="1:5" x14ac:dyDescent="0.2">
      <c r="B15" s="16" t="s">
        <v>129</v>
      </c>
      <c r="C15" s="12">
        <f>'19_20 District Budget Summ-16'!W85</f>
        <v>319002192.02999997</v>
      </c>
      <c r="D15" s="12">
        <f>SUM('PCFP - All Revenue AA-1 R-16'!F73,'PCFP - All Revenue AA-1 R-16'!H73,'PCFP - All Revenue AA-1 R-16'!H75)</f>
        <v>222861191.02999997</v>
      </c>
      <c r="E15" s="21">
        <f>D15-C15</f>
        <v>-96141001</v>
      </c>
    </row>
    <row r="17" spans="1:7" x14ac:dyDescent="0.2">
      <c r="A17" s="22"/>
      <c r="B17" s="23" t="s">
        <v>306</v>
      </c>
      <c r="C17" s="24">
        <f t="shared" ref="C17:D17" si="1">SUM(C13:C15)</f>
        <v>1548850228.03</v>
      </c>
      <c r="D17" s="24">
        <f t="shared" si="1"/>
        <v>1543353550.4671609</v>
      </c>
      <c r="E17" s="25">
        <f>D17-C17</f>
        <v>-5496677.5628390312</v>
      </c>
      <c r="F17" s="26"/>
      <c r="G17" s="17"/>
    </row>
    <row r="18" spans="1:7" s="2" customFormat="1" x14ac:dyDescent="0.2">
      <c r="A18" s="27"/>
      <c r="B18" s="28" t="s">
        <v>131</v>
      </c>
      <c r="C18" s="285">
        <f>SUM(C21,C39,C69,C73)</f>
        <v>1548850228.03</v>
      </c>
      <c r="D18" s="285">
        <f>SUM(D21,D39,D69,D73)</f>
        <v>1552877464.03</v>
      </c>
      <c r="E18" s="29">
        <f>D18-C18</f>
        <v>4027236</v>
      </c>
    </row>
    <row r="19" spans="1:7" x14ac:dyDescent="0.2">
      <c r="A19" s="30"/>
      <c r="B19" s="286" t="s">
        <v>132</v>
      </c>
      <c r="C19" s="909">
        <f t="shared" ref="C19:D19" si="2">C17-C18</f>
        <v>0</v>
      </c>
      <c r="D19" s="909">
        <f t="shared" si="2"/>
        <v>-9523913.5628390312</v>
      </c>
      <c r="E19" s="29">
        <f>D19-C19</f>
        <v>-9523913.5628390312</v>
      </c>
    </row>
    <row r="21" spans="1:7" x14ac:dyDescent="0.2">
      <c r="B21" s="2" t="s">
        <v>133</v>
      </c>
      <c r="C21" s="12">
        <f>SUM(C22:C37)</f>
        <v>432003426</v>
      </c>
      <c r="D21" s="12">
        <f>SUM(D22:D37)</f>
        <v>254798536</v>
      </c>
    </row>
    <row r="22" spans="1:7" hidden="1" x14ac:dyDescent="0.2">
      <c r="A22" s="2">
        <v>100</v>
      </c>
      <c r="B22" t="s">
        <v>134</v>
      </c>
      <c r="C22" s="12">
        <f>'19_20 District Budget Summ-16'!W92</f>
        <v>245488359</v>
      </c>
      <c r="D22" s="12">
        <f>'PCFP-All Expense AA-1 Modi-16'!J3</f>
        <v>225904694</v>
      </c>
      <c r="E22" s="12"/>
    </row>
    <row r="23" spans="1:7" hidden="1" x14ac:dyDescent="0.2">
      <c r="A23" s="2">
        <v>200</v>
      </c>
      <c r="B23" t="s">
        <v>135</v>
      </c>
      <c r="C23" s="12">
        <f>'19_20 District Budget Summ-16'!W93</f>
        <v>94748266</v>
      </c>
      <c r="D23" s="12">
        <f>'PCFP-All Expense AA-1 Modi-16'!J4</f>
        <v>0</v>
      </c>
      <c r="E23" s="12"/>
    </row>
    <row r="24" spans="1:7" hidden="1" x14ac:dyDescent="0.2">
      <c r="A24" s="2" t="s">
        <v>10</v>
      </c>
      <c r="B24" t="s">
        <v>136</v>
      </c>
      <c r="C24" s="12">
        <f>'19_20 District Budget Summ-16'!W94</f>
        <v>0</v>
      </c>
      <c r="D24" s="12">
        <f>'PCFP-All Expense AA-1 Modi-16'!J5</f>
        <v>0</v>
      </c>
      <c r="E24" s="12"/>
    </row>
    <row r="25" spans="1:7" hidden="1" x14ac:dyDescent="0.2">
      <c r="A25" s="2">
        <v>270</v>
      </c>
      <c r="B25" t="s">
        <v>137</v>
      </c>
      <c r="C25" s="12">
        <f>'19_20 District Budget Summ-16'!W95</f>
        <v>4957985</v>
      </c>
      <c r="D25" s="12">
        <f>'PCFP-All Expense AA-1 Modi-16'!J6</f>
        <v>4957985</v>
      </c>
      <c r="E25" s="12"/>
    </row>
    <row r="26" spans="1:7" hidden="1" x14ac:dyDescent="0.2">
      <c r="A26" s="2" t="s">
        <v>10</v>
      </c>
      <c r="B26" t="s">
        <v>138</v>
      </c>
      <c r="C26" s="12">
        <f>'19_20 District Budget Summ-16'!W96</f>
        <v>0</v>
      </c>
      <c r="D26" s="12">
        <f>'PCFP-All Expense AA-1 Modi-16'!J7</f>
        <v>0</v>
      </c>
      <c r="E26" s="12"/>
    </row>
    <row r="27" spans="1:7" hidden="1" x14ac:dyDescent="0.2">
      <c r="A27" s="2">
        <v>300</v>
      </c>
      <c r="B27" t="s">
        <v>139</v>
      </c>
      <c r="C27" s="12">
        <f>'19_20 District Budget Summ-16'!W97</f>
        <v>9481571</v>
      </c>
      <c r="D27" s="12">
        <f>'PCFP-All Expense AA-1 Modi-16'!J8</f>
        <v>5823574</v>
      </c>
      <c r="E27" s="12"/>
    </row>
    <row r="28" spans="1:7" hidden="1" x14ac:dyDescent="0.2">
      <c r="A28" s="2">
        <v>400</v>
      </c>
      <c r="B28" t="s">
        <v>140</v>
      </c>
      <c r="C28" s="12">
        <f>'19_20 District Budget Summ-16'!W98</f>
        <v>56974009</v>
      </c>
      <c r="D28" s="12">
        <f>'PCFP-All Expense AA-1 Modi-16'!J9</f>
        <v>0</v>
      </c>
      <c r="E28" s="12"/>
    </row>
    <row r="29" spans="1:7" hidden="1" x14ac:dyDescent="0.2">
      <c r="A29" s="2" t="s">
        <v>10</v>
      </c>
      <c r="B29" t="s">
        <v>141</v>
      </c>
      <c r="C29" s="12">
        <f>'19_20 District Budget Summ-16'!W99</f>
        <v>12844197</v>
      </c>
      <c r="D29" s="12">
        <f>'PCFP-All Expense AA-1 Modi-16'!J10</f>
        <v>12857604</v>
      </c>
      <c r="E29" s="12"/>
    </row>
    <row r="30" spans="1:7" hidden="1" x14ac:dyDescent="0.2">
      <c r="A30" s="2" t="s">
        <v>10</v>
      </c>
      <c r="B30" t="s">
        <v>142</v>
      </c>
      <c r="C30" s="12">
        <f>'19_20 District Budget Summ-16'!W100</f>
        <v>0</v>
      </c>
      <c r="D30" s="12">
        <f>'PCFP-All Expense AA-1 Modi-16'!J11</f>
        <v>0</v>
      </c>
      <c r="E30" s="12"/>
    </row>
    <row r="31" spans="1:7" hidden="1" x14ac:dyDescent="0.2">
      <c r="A31" s="2">
        <v>440</v>
      </c>
      <c r="B31" t="s">
        <v>143</v>
      </c>
      <c r="C31" s="12">
        <f>'19_20 District Budget Summ-16'!W102</f>
        <v>267822</v>
      </c>
      <c r="D31" s="12">
        <f>'PCFP-All Expense AA-1 Modi-16'!J12</f>
        <v>733843</v>
      </c>
      <c r="E31" s="12"/>
    </row>
    <row r="32" spans="1:7" ht="12" hidden="1" customHeight="1" x14ac:dyDescent="0.2">
      <c r="A32" s="2">
        <v>470</v>
      </c>
      <c r="B32" s="3" t="s">
        <v>752</v>
      </c>
      <c r="C32" s="12">
        <f>'19_20 District Budget Summ-16'!W103</f>
        <v>479428</v>
      </c>
      <c r="D32" s="12">
        <v>0</v>
      </c>
      <c r="E32" s="12"/>
    </row>
    <row r="33" spans="1:5" hidden="1" x14ac:dyDescent="0.2">
      <c r="A33" s="2">
        <v>500</v>
      </c>
      <c r="B33" t="s">
        <v>144</v>
      </c>
      <c r="C33" s="12">
        <f>'19_20 District Budget Summ-16'!W104</f>
        <v>0</v>
      </c>
      <c r="D33" s="21">
        <f>'PCFP-All Expense AA-1 Modi-16'!J13</f>
        <v>0</v>
      </c>
      <c r="E33" s="12"/>
    </row>
    <row r="34" spans="1:5" hidden="1" x14ac:dyDescent="0.2">
      <c r="A34" s="2">
        <v>600</v>
      </c>
      <c r="B34" t="s">
        <v>145</v>
      </c>
      <c r="C34" s="12">
        <f>'19_20 District Budget Summ-16'!W105</f>
        <v>1508529</v>
      </c>
      <c r="D34" s="21">
        <f>'PCFP-All Expense AA-1 Modi-16'!J14</f>
        <v>0</v>
      </c>
      <c r="E34" s="12"/>
    </row>
    <row r="35" spans="1:5" hidden="1" x14ac:dyDescent="0.2">
      <c r="A35" s="2">
        <v>800</v>
      </c>
      <c r="B35" t="s">
        <v>146</v>
      </c>
      <c r="C35" s="12">
        <f>'19_20 District Budget Summ-16'!W106</f>
        <v>732424</v>
      </c>
      <c r="D35" s="21">
        <f>'PCFP-All Expense AA-1 Modi-16'!J15</f>
        <v>0</v>
      </c>
      <c r="E35" s="12"/>
    </row>
    <row r="36" spans="1:5" hidden="1" x14ac:dyDescent="0.2">
      <c r="A36" s="2">
        <v>910</v>
      </c>
      <c r="B36" t="s">
        <v>147</v>
      </c>
      <c r="C36" s="12">
        <f>'19_20 District Budget Summ-16'!W107</f>
        <v>967947.5</v>
      </c>
      <c r="D36" s="21">
        <f>'PCFP-All Expense AA-1 Modi-16'!J16</f>
        <v>1202643</v>
      </c>
      <c r="E36" s="12"/>
    </row>
    <row r="37" spans="1:5" hidden="1" x14ac:dyDescent="0.2">
      <c r="A37" s="2">
        <v>920</v>
      </c>
      <c r="B37" t="s">
        <v>148</v>
      </c>
      <c r="C37" s="12">
        <f>'19_20 District Budget Summ-16'!W108</f>
        <v>3552888.5</v>
      </c>
      <c r="D37" s="21">
        <f>'PCFP-All Expense AA-1 Modi-16'!J17</f>
        <v>3318193</v>
      </c>
      <c r="E37" s="12"/>
    </row>
    <row r="38" spans="1:5" x14ac:dyDescent="0.2">
      <c r="E38" s="12"/>
    </row>
    <row r="39" spans="1:5" x14ac:dyDescent="0.2">
      <c r="A39" s="2" t="s">
        <v>149</v>
      </c>
      <c r="B39" s="2" t="s">
        <v>150</v>
      </c>
      <c r="C39" s="12">
        <f>SUM(C40:C67)</f>
        <v>1081988333.53</v>
      </c>
      <c r="D39" s="12">
        <f>SUM(D40:D67)</f>
        <v>275663603</v>
      </c>
      <c r="E39" s="12"/>
    </row>
    <row r="40" spans="1:5" hidden="1" x14ac:dyDescent="0.2">
      <c r="A40" s="2">
        <v>1000</v>
      </c>
      <c r="B40" t="s">
        <v>753</v>
      </c>
      <c r="C40" s="12">
        <f>'19_20 District Budget Summ-16'!W111</f>
        <v>17079</v>
      </c>
      <c r="D40" s="12">
        <v>0</v>
      </c>
      <c r="E40" s="12"/>
    </row>
    <row r="41" spans="1:5" hidden="1" x14ac:dyDescent="0.2">
      <c r="A41" s="2">
        <v>2100</v>
      </c>
      <c r="B41" t="s">
        <v>151</v>
      </c>
      <c r="C41" s="12">
        <f>'19_20 District Budget Summ-16'!W112</f>
        <v>35365491.5</v>
      </c>
      <c r="D41" s="12">
        <f>'PCFP-All Expense AA-1 Modi-16'!J21</f>
        <v>34627224</v>
      </c>
      <c r="E41" s="12"/>
    </row>
    <row r="42" spans="1:5" hidden="1" x14ac:dyDescent="0.2">
      <c r="A42" s="2">
        <v>2200</v>
      </c>
      <c r="B42" t="s">
        <v>152</v>
      </c>
      <c r="C42" s="12">
        <f>'19_20 District Budget Summ-16'!W113</f>
        <v>15793264</v>
      </c>
      <c r="D42" s="12">
        <f>'PCFP-All Expense AA-1 Modi-16'!J22</f>
        <v>15730670</v>
      </c>
      <c r="E42" s="12"/>
    </row>
    <row r="43" spans="1:5" hidden="1" x14ac:dyDescent="0.2">
      <c r="A43" s="2">
        <v>2300</v>
      </c>
      <c r="B43" t="s">
        <v>153</v>
      </c>
      <c r="C43" s="12">
        <f>'19_20 District Budget Summ-16'!W114</f>
        <v>7183782</v>
      </c>
      <c r="D43" s="12">
        <f>'PCFP-All Expense AA-1 Modi-16'!J23</f>
        <v>6370038</v>
      </c>
      <c r="E43" s="12"/>
    </row>
    <row r="44" spans="1:5" hidden="1" x14ac:dyDescent="0.2">
      <c r="A44" s="2">
        <v>2400</v>
      </c>
      <c r="B44" t="s">
        <v>154</v>
      </c>
      <c r="C44" s="12">
        <f>'19_20 District Budget Summ-16'!W115</f>
        <v>39718911.5</v>
      </c>
      <c r="D44" s="12">
        <f>'PCFP-All Expense AA-1 Modi-16'!J24</f>
        <v>39718911</v>
      </c>
      <c r="E44" s="12"/>
    </row>
    <row r="45" spans="1:5" hidden="1" x14ac:dyDescent="0.2">
      <c r="A45" s="2">
        <v>2500</v>
      </c>
      <c r="B45" t="s">
        <v>155</v>
      </c>
      <c r="C45" s="12">
        <f>'19_20 District Budget Summ-16'!W116</f>
        <v>34814738.689999998</v>
      </c>
      <c r="D45" s="12">
        <f>'PCFP-All Expense AA-1 Modi-16'!J25</f>
        <v>25376142</v>
      </c>
      <c r="E45" s="12"/>
    </row>
    <row r="46" spans="1:5" hidden="1" x14ac:dyDescent="0.2">
      <c r="A46" s="2">
        <v>2600</v>
      </c>
      <c r="B46" t="s">
        <v>156</v>
      </c>
      <c r="C46" s="12">
        <f>'19_20 District Budget Summ-16'!W117</f>
        <v>52885263.659999996</v>
      </c>
      <c r="D46" s="12">
        <f>'PCFP-All Expense AA-1 Modi-16'!J26</f>
        <v>52233481</v>
      </c>
      <c r="E46" s="12"/>
    </row>
    <row r="47" spans="1:5" hidden="1" x14ac:dyDescent="0.2">
      <c r="A47" s="2">
        <v>2700</v>
      </c>
      <c r="B47" t="s">
        <v>157</v>
      </c>
      <c r="C47" s="12">
        <f>'19_20 District Budget Summ-16'!W118</f>
        <v>19070304.77</v>
      </c>
      <c r="D47" s="12">
        <f>'PCFP-All Expense AA-1 Modi-16'!J27</f>
        <v>16512413</v>
      </c>
      <c r="E47" s="12"/>
    </row>
    <row r="48" spans="1:5" hidden="1" x14ac:dyDescent="0.2">
      <c r="A48" s="2">
        <v>2900</v>
      </c>
      <c r="B48" t="s">
        <v>158</v>
      </c>
      <c r="C48" s="12">
        <f>'19_20 District Budget Summ-16'!W119</f>
        <v>0</v>
      </c>
      <c r="D48" s="12">
        <f>'PCFP-All Expense AA-1 Modi-16'!J28</f>
        <v>0</v>
      </c>
      <c r="E48" s="12"/>
    </row>
    <row r="49" spans="1:5" hidden="1" x14ac:dyDescent="0.2">
      <c r="A49" s="2">
        <v>3000</v>
      </c>
      <c r="B49" t="s">
        <v>159</v>
      </c>
      <c r="C49" s="12">
        <f>'19_20 District Budget Summ-16'!W120</f>
        <v>0</v>
      </c>
      <c r="D49" s="12">
        <f>'PCFP-All Expense AA-1 Modi-16'!J29</f>
        <v>0</v>
      </c>
      <c r="E49" s="12"/>
    </row>
    <row r="50" spans="1:5" hidden="1" x14ac:dyDescent="0.2">
      <c r="A50" s="2">
        <v>3100</v>
      </c>
      <c r="B50" t="s">
        <v>160</v>
      </c>
      <c r="C50" s="12">
        <f>'19_20 District Budget Summ-16'!W121</f>
        <v>1798</v>
      </c>
      <c r="D50" s="12">
        <f>'PCFP-All Expense AA-1 Modi-16'!J30</f>
        <v>0</v>
      </c>
      <c r="E50" s="12"/>
    </row>
    <row r="51" spans="1:5" hidden="1" x14ac:dyDescent="0.2">
      <c r="A51" s="2">
        <v>3200</v>
      </c>
      <c r="B51" t="s">
        <v>161</v>
      </c>
      <c r="C51" s="12">
        <f>'19_20 District Budget Summ-16'!W122</f>
        <v>0</v>
      </c>
      <c r="D51" s="12">
        <f>'PCFP-All Expense AA-1 Modi-16'!J31</f>
        <v>0</v>
      </c>
      <c r="E51" s="12"/>
    </row>
    <row r="52" spans="1:5" hidden="1" x14ac:dyDescent="0.2">
      <c r="A52" s="2">
        <v>3300</v>
      </c>
      <c r="B52" t="s">
        <v>162</v>
      </c>
      <c r="C52" s="12">
        <f>'19_20 District Budget Summ-16'!W123</f>
        <v>0</v>
      </c>
      <c r="D52" s="12">
        <f>'PCFP-All Expense AA-1 Modi-16'!J32</f>
        <v>0</v>
      </c>
      <c r="E52" s="12"/>
    </row>
    <row r="53" spans="1:5" hidden="1" x14ac:dyDescent="0.2">
      <c r="A53" s="2">
        <v>4000</v>
      </c>
      <c r="B53" t="s">
        <v>164</v>
      </c>
      <c r="C53" s="12">
        <f>'19_20 District Budget Summ-16'!W124</f>
        <v>0</v>
      </c>
      <c r="D53" s="12">
        <f>'PCFP-All Expense AA-1 Modi-16'!J33</f>
        <v>0</v>
      </c>
      <c r="E53" s="12"/>
    </row>
    <row r="54" spans="1:5" hidden="1" x14ac:dyDescent="0.2">
      <c r="A54" s="2">
        <v>4100</v>
      </c>
      <c r="B54" t="s">
        <v>163</v>
      </c>
      <c r="C54" s="12">
        <f>'19_20 District Budget Summ-16'!W125</f>
        <v>34976807.340000004</v>
      </c>
      <c r="D54" s="12">
        <f>'PCFP-All Expense AA-1 Modi-16'!J34</f>
        <v>0</v>
      </c>
      <c r="E54" s="12"/>
    </row>
    <row r="55" spans="1:5" hidden="1" x14ac:dyDescent="0.2">
      <c r="A55" s="2">
        <v>4200</v>
      </c>
      <c r="B55" t="s">
        <v>165</v>
      </c>
      <c r="C55" s="12">
        <f>'19_20 District Budget Summ-16'!W126</f>
        <v>0</v>
      </c>
      <c r="D55" s="12">
        <f>'PCFP-All Expense AA-1 Modi-16'!J35</f>
        <v>0</v>
      </c>
      <c r="E55" s="12"/>
    </row>
    <row r="56" spans="1:5" hidden="1" x14ac:dyDescent="0.2">
      <c r="A56" s="2">
        <v>4300</v>
      </c>
      <c r="B56" t="s">
        <v>166</v>
      </c>
      <c r="C56" s="12">
        <f>'19_20 District Budget Summ-16'!W127</f>
        <v>32917964.32</v>
      </c>
      <c r="D56" s="12">
        <f>'PCFP-All Expense AA-1 Modi-16'!J36</f>
        <v>0</v>
      </c>
      <c r="E56" s="12"/>
    </row>
    <row r="57" spans="1:5" hidden="1" x14ac:dyDescent="0.2">
      <c r="A57" s="2">
        <v>4400</v>
      </c>
      <c r="B57" t="s">
        <v>167</v>
      </c>
      <c r="C57" s="12">
        <f>'19_20 District Budget Summ-16'!W128</f>
        <v>0</v>
      </c>
      <c r="D57" s="12">
        <f>'PCFP-All Expense AA-1 Modi-16'!J37</f>
        <v>0</v>
      </c>
      <c r="E57" s="12"/>
    </row>
    <row r="58" spans="1:5" hidden="1" x14ac:dyDescent="0.2">
      <c r="A58" s="2">
        <v>4500</v>
      </c>
      <c r="B58" t="s">
        <v>168</v>
      </c>
      <c r="C58" s="12">
        <f>'19_20 District Budget Summ-16'!W129</f>
        <v>311200195.19999999</v>
      </c>
      <c r="D58" s="12">
        <f>'PCFP-All Expense AA-1 Modi-16'!J38</f>
        <v>0</v>
      </c>
      <c r="E58" s="12"/>
    </row>
    <row r="59" spans="1:5" hidden="1" x14ac:dyDescent="0.2">
      <c r="A59" s="2">
        <v>4600</v>
      </c>
      <c r="B59" t="s">
        <v>169</v>
      </c>
      <c r="C59" s="12">
        <f>'19_20 District Budget Summ-16'!W130</f>
        <v>31767750.859999999</v>
      </c>
      <c r="D59" s="12">
        <f>'PCFP-All Expense AA-1 Modi-16'!J39</f>
        <v>0</v>
      </c>
      <c r="E59" s="12"/>
    </row>
    <row r="60" spans="1:5" hidden="1" x14ac:dyDescent="0.2">
      <c r="A60" s="2">
        <v>4700</v>
      </c>
      <c r="B60" t="s">
        <v>170</v>
      </c>
      <c r="C60" s="12">
        <f>'19_20 District Budget Summ-16'!W131</f>
        <v>82698194.370000005</v>
      </c>
      <c r="D60" s="12">
        <f>'PCFP-All Expense AA-1 Modi-16'!J40</f>
        <v>0</v>
      </c>
      <c r="E60" s="12"/>
    </row>
    <row r="61" spans="1:5" hidden="1" x14ac:dyDescent="0.2">
      <c r="A61" s="2">
        <v>4900</v>
      </c>
      <c r="B61" t="s">
        <v>171</v>
      </c>
      <c r="C61" s="12">
        <f>'19_20 District Budget Summ-16'!W132</f>
        <v>0</v>
      </c>
      <c r="D61" s="12">
        <f>'PCFP-All Expense AA-1 Modi-16'!J41</f>
        <v>0</v>
      </c>
      <c r="E61" s="12"/>
    </row>
    <row r="62" spans="1:5" hidden="1" x14ac:dyDescent="0.2">
      <c r="A62" s="2">
        <v>5000</v>
      </c>
      <c r="B62" t="s">
        <v>172</v>
      </c>
      <c r="C62" s="12">
        <f>'19_20 District Budget Summ-16'!W133</f>
        <v>0</v>
      </c>
      <c r="D62" s="12">
        <f>'PCFP-All Expense AA-1 Modi-16'!J42</f>
        <v>0</v>
      </c>
      <c r="E62" s="12"/>
    </row>
    <row r="63" spans="1:5" hidden="1" x14ac:dyDescent="0.2">
      <c r="A63" s="2">
        <v>5000</v>
      </c>
      <c r="B63" t="s">
        <v>173</v>
      </c>
      <c r="C63" s="12">
        <f>'19_20 District Budget Summ-16'!W134</f>
        <v>78795481</v>
      </c>
      <c r="D63" s="12">
        <f>'PCFP-All Expense AA-1 Modi-16'!J43</f>
        <v>0</v>
      </c>
      <c r="E63" s="12"/>
    </row>
    <row r="64" spans="1:5" hidden="1" x14ac:dyDescent="0.2">
      <c r="A64" s="2">
        <v>6100</v>
      </c>
      <c r="B64" t="s">
        <v>174</v>
      </c>
      <c r="C64" s="12">
        <f>'19_20 District Budget Summ-16'!W135</f>
        <v>0</v>
      </c>
      <c r="D64" s="12">
        <f>'PCFP-All Expense AA-1 Modi-16'!J44</f>
        <v>0</v>
      </c>
      <c r="E64" s="12"/>
    </row>
    <row r="65" spans="1:5" hidden="1" x14ac:dyDescent="0.2">
      <c r="A65" s="2">
        <v>6200</v>
      </c>
      <c r="B65" t="s">
        <v>175</v>
      </c>
      <c r="C65" s="12">
        <f>'19_20 District Budget Summ-16'!W136</f>
        <v>93666373</v>
      </c>
      <c r="D65" s="12">
        <f>'PCFP-All Expense AA-1 Modi-16'!J45</f>
        <v>45355506</v>
      </c>
      <c r="E65" s="12"/>
    </row>
    <row r="66" spans="1:5" hidden="1" x14ac:dyDescent="0.2">
      <c r="A66" s="2">
        <v>6300</v>
      </c>
      <c r="B66" t="s">
        <v>176</v>
      </c>
      <c r="C66" s="12">
        <f>'19_20 District Budget Summ-16'!W137</f>
        <v>1031242</v>
      </c>
      <c r="D66" s="12">
        <f>'PCFP-All Expense AA-1 Modi-16'!J46</f>
        <v>1031242</v>
      </c>
      <c r="E66" s="12"/>
    </row>
    <row r="67" spans="1:5" hidden="1" x14ac:dyDescent="0.2">
      <c r="A67" s="2">
        <v>8000</v>
      </c>
      <c r="B67" t="s">
        <v>177</v>
      </c>
      <c r="C67" s="12">
        <f>'19_20 District Budget Summ-16'!W138</f>
        <v>210083692.31999999</v>
      </c>
      <c r="D67" s="12">
        <f>'PCFP-All Expense AA-1 Modi-16'!J47</f>
        <v>38707976</v>
      </c>
      <c r="E67" s="12"/>
    </row>
    <row r="68" spans="1:5" x14ac:dyDescent="0.2">
      <c r="D68" s="12">
        <v>0</v>
      </c>
      <c r="E68" s="12"/>
    </row>
    <row r="69" spans="1:5" x14ac:dyDescent="0.2">
      <c r="B69" t="s">
        <v>448</v>
      </c>
      <c r="C69" s="12">
        <f>SUM(C70:C71)</f>
        <v>-48310867</v>
      </c>
      <c r="D69" s="12">
        <f>SUM(D70:D71)</f>
        <v>162869949</v>
      </c>
      <c r="E69" s="12"/>
    </row>
    <row r="70" spans="1:5" s="2" customFormat="1" hidden="1" x14ac:dyDescent="0.2">
      <c r="B70" s="2" t="s">
        <v>448</v>
      </c>
      <c r="C70" s="12">
        <f>'19_20 District Budget Summ-16'!W140</f>
        <v>-2001442</v>
      </c>
      <c r="D70" s="12">
        <f>'PCFP-All Expense AA-1 Modi-16'!J52</f>
        <v>99655490</v>
      </c>
      <c r="E70" s="12"/>
    </row>
    <row r="71" spans="1:5" s="2" customFormat="1" hidden="1" x14ac:dyDescent="0.2">
      <c r="B71" s="2" t="s">
        <v>453</v>
      </c>
      <c r="C71" s="12">
        <f>'19_20 District Budget Summ-16'!W141</f>
        <v>-46309425</v>
      </c>
      <c r="D71" s="12">
        <f>'PCFP-All Expense AA-1 Modi-16'!J53</f>
        <v>63214459</v>
      </c>
      <c r="E71" s="12"/>
    </row>
    <row r="72" spans="1:5" x14ac:dyDescent="0.2">
      <c r="E72" s="12"/>
    </row>
    <row r="73" spans="1:5" s="2" customFormat="1" x14ac:dyDescent="0.2">
      <c r="A73" s="53"/>
      <c r="B73" s="2" t="s">
        <v>308</v>
      </c>
      <c r="C73" s="12">
        <f>SUM(C74:C163)</f>
        <v>83169335.5</v>
      </c>
      <c r="D73" s="12">
        <f>SUM(D74:D163)</f>
        <v>859545376.02999997</v>
      </c>
      <c r="E73" s="12"/>
    </row>
    <row r="74" spans="1:5" hidden="1" x14ac:dyDescent="0.2">
      <c r="B74" t="s">
        <v>179</v>
      </c>
      <c r="C74" s="12">
        <f>'19_20 District Budget Summ-16'!W144</f>
        <v>0</v>
      </c>
      <c r="D74" s="12">
        <f>'PCFP-All Expense AA-1 Modi-16'!J56</f>
        <v>0</v>
      </c>
      <c r="E74" s="12"/>
    </row>
    <row r="75" spans="1:5" hidden="1" x14ac:dyDescent="0.2">
      <c r="B75" t="s">
        <v>145</v>
      </c>
      <c r="C75" s="12">
        <f>'19_20 District Budget Summ-16'!W145</f>
        <v>0</v>
      </c>
      <c r="D75" s="12">
        <f>'PCFP-All Expense AA-1 Modi-16'!J57</f>
        <v>0</v>
      </c>
      <c r="E75" s="12"/>
    </row>
    <row r="76" spans="1:5" hidden="1" x14ac:dyDescent="0.2">
      <c r="B76" t="s">
        <v>180</v>
      </c>
      <c r="C76" s="12">
        <f>'19_20 District Budget Summ-16'!W146</f>
        <v>0</v>
      </c>
      <c r="D76" s="12">
        <f>'PCFP-All Expense AA-1 Modi-16'!J58</f>
        <v>0</v>
      </c>
      <c r="E76" s="12"/>
    </row>
    <row r="77" spans="1:5" hidden="1" x14ac:dyDescent="0.2">
      <c r="B77" t="s">
        <v>181</v>
      </c>
      <c r="C77" s="12">
        <f>'19_20 District Budget Summ-16'!W147</f>
        <v>0</v>
      </c>
      <c r="D77" s="12">
        <f>'PCFP-All Expense AA-1 Modi-16'!J59</f>
        <v>0</v>
      </c>
      <c r="E77" s="12"/>
    </row>
    <row r="78" spans="1:5" hidden="1" x14ac:dyDescent="0.2">
      <c r="B78" t="s">
        <v>182</v>
      </c>
      <c r="C78" s="12">
        <f>'19_20 District Budget Summ-16'!W148</f>
        <v>0</v>
      </c>
      <c r="D78" s="12">
        <f>'PCFP-All Expense AA-1 Modi-16'!J60</f>
        <v>0</v>
      </c>
      <c r="E78" s="12"/>
    </row>
    <row r="79" spans="1:5" hidden="1" x14ac:dyDescent="0.2">
      <c r="B79" t="s">
        <v>183</v>
      </c>
      <c r="C79" s="12">
        <f>'19_20 District Budget Summ-16'!W149</f>
        <v>0</v>
      </c>
      <c r="D79" s="12">
        <f>'PCFP-All Expense AA-1 Modi-16'!J61</f>
        <v>0</v>
      </c>
      <c r="E79" s="12"/>
    </row>
    <row r="80" spans="1:5" hidden="1" x14ac:dyDescent="0.2">
      <c r="B80" t="s">
        <v>184</v>
      </c>
      <c r="C80" s="12">
        <f>'19_20 District Budget Summ-16'!W150</f>
        <v>0</v>
      </c>
      <c r="D80" s="12">
        <f>'PCFP-All Expense AA-1 Modi-16'!J62</f>
        <v>0</v>
      </c>
      <c r="E80" s="12"/>
    </row>
    <row r="81" spans="2:5" hidden="1" x14ac:dyDescent="0.2">
      <c r="B81" t="s">
        <v>185</v>
      </c>
      <c r="C81" s="12">
        <f>'19_20 District Budget Summ-16'!W151</f>
        <v>0</v>
      </c>
      <c r="D81" s="12">
        <f>'PCFP-All Expense AA-1 Modi-16'!J63</f>
        <v>1189431</v>
      </c>
      <c r="E81" s="12"/>
    </row>
    <row r="82" spans="2:5" hidden="1" x14ac:dyDescent="0.2">
      <c r="B82" t="s">
        <v>186</v>
      </c>
      <c r="C82" s="12">
        <f>'19_20 District Budget Summ-16'!W152</f>
        <v>0</v>
      </c>
      <c r="D82" s="12">
        <f>'PCFP-All Expense AA-1 Modi-16'!J64</f>
        <v>0</v>
      </c>
      <c r="E82" s="12"/>
    </row>
    <row r="83" spans="2:5" hidden="1" x14ac:dyDescent="0.2">
      <c r="B83" t="s">
        <v>187</v>
      </c>
      <c r="C83" s="12">
        <f>'19_20 District Budget Summ-16'!W153</f>
        <v>0</v>
      </c>
      <c r="D83" s="12">
        <f>'PCFP-All Expense AA-1 Modi-16'!J65</f>
        <v>0</v>
      </c>
      <c r="E83" s="12"/>
    </row>
    <row r="84" spans="2:5" hidden="1" x14ac:dyDescent="0.2">
      <c r="B84" t="s">
        <v>188</v>
      </c>
      <c r="C84" s="12">
        <f>'19_20 District Budget Summ-16'!W154</f>
        <v>0</v>
      </c>
      <c r="D84" s="12">
        <f>'PCFP-All Expense AA-1 Modi-16'!J66</f>
        <v>0</v>
      </c>
      <c r="E84" s="12"/>
    </row>
    <row r="85" spans="2:5" hidden="1" x14ac:dyDescent="0.2">
      <c r="B85" t="s">
        <v>189</v>
      </c>
      <c r="C85" s="12">
        <f>'19_20 District Budget Summ-16'!W155</f>
        <v>0</v>
      </c>
      <c r="D85" s="12">
        <f>'PCFP-All Expense AA-1 Modi-16'!J67</f>
        <v>0</v>
      </c>
      <c r="E85" s="12"/>
    </row>
    <row r="86" spans="2:5" hidden="1" x14ac:dyDescent="0.2">
      <c r="B86" t="s">
        <v>190</v>
      </c>
      <c r="C86" s="12">
        <f>'19_20 District Budget Summ-16'!W156</f>
        <v>0</v>
      </c>
      <c r="D86" s="12">
        <f>'PCFP-All Expense AA-1 Modi-16'!J68</f>
        <v>0</v>
      </c>
      <c r="E86" s="12"/>
    </row>
    <row r="87" spans="2:5" hidden="1" x14ac:dyDescent="0.2">
      <c r="B87" t="s">
        <v>191</v>
      </c>
      <c r="C87" s="12">
        <f>'19_20 District Budget Summ-16'!W157</f>
        <v>0</v>
      </c>
      <c r="D87" s="12">
        <f>'PCFP-All Expense AA-1 Modi-16'!J69</f>
        <v>19067925</v>
      </c>
      <c r="E87" s="12"/>
    </row>
    <row r="88" spans="2:5" hidden="1" x14ac:dyDescent="0.2">
      <c r="B88" t="s">
        <v>192</v>
      </c>
      <c r="C88" s="12">
        <f>'19_20 District Budget Summ-16'!W158</f>
        <v>0</v>
      </c>
      <c r="D88" s="12">
        <f>'PCFP-All Expense AA-1 Modi-16'!J70</f>
        <v>0</v>
      </c>
      <c r="E88" s="12"/>
    </row>
    <row r="89" spans="2:5" hidden="1" x14ac:dyDescent="0.2">
      <c r="B89" t="s">
        <v>193</v>
      </c>
      <c r="C89" s="12">
        <f>'19_20 District Budget Summ-16'!W159</f>
        <v>0</v>
      </c>
      <c r="D89" s="12">
        <f>'PCFP-All Expense AA-1 Modi-16'!J71</f>
        <v>1209915.4100000001</v>
      </c>
      <c r="E89" s="12"/>
    </row>
    <row r="90" spans="2:5" hidden="1" x14ac:dyDescent="0.2">
      <c r="B90" t="s">
        <v>194</v>
      </c>
      <c r="C90" s="12">
        <f>'19_20 District Budget Summ-16'!W160</f>
        <v>0</v>
      </c>
      <c r="D90" s="12">
        <f>'PCFP-All Expense AA-1 Modi-16'!J72</f>
        <v>17810182.740000002</v>
      </c>
      <c r="E90" s="12"/>
    </row>
    <row r="91" spans="2:5" hidden="1" x14ac:dyDescent="0.2">
      <c r="B91" t="s">
        <v>195</v>
      </c>
      <c r="C91" s="12">
        <f>'19_20 District Budget Summ-16'!W161</f>
        <v>0</v>
      </c>
      <c r="D91" s="12">
        <f>'PCFP-All Expense AA-1 Modi-16'!J73</f>
        <v>71381969.920000002</v>
      </c>
      <c r="E91" s="12"/>
    </row>
    <row r="92" spans="2:5" hidden="1" x14ac:dyDescent="0.2">
      <c r="B92" t="s">
        <v>196</v>
      </c>
      <c r="C92" s="12">
        <f>'19_20 District Budget Summ-16'!W162</f>
        <v>0</v>
      </c>
      <c r="D92" s="12">
        <f>'PCFP-All Expense AA-1 Modi-16'!J74</f>
        <v>75672824</v>
      </c>
      <c r="E92" s="12"/>
    </row>
    <row r="93" spans="2:5" hidden="1" x14ac:dyDescent="0.2">
      <c r="B93" t="s">
        <v>197</v>
      </c>
      <c r="C93" s="12">
        <f>'19_20 District Budget Summ-16'!W163</f>
        <v>0</v>
      </c>
      <c r="D93" s="12">
        <f>'PCFP-All Expense AA-1 Modi-16'!J75</f>
        <v>288420000</v>
      </c>
      <c r="E93" s="12"/>
    </row>
    <row r="94" spans="2:5" hidden="1" x14ac:dyDescent="0.2">
      <c r="B94" t="s">
        <v>198</v>
      </c>
      <c r="C94" s="12">
        <f>'19_20 District Budget Summ-16'!W164</f>
        <v>0</v>
      </c>
      <c r="D94" s="12">
        <f>'PCFP-All Expense AA-1 Modi-16'!J76</f>
        <v>17590467.300000001</v>
      </c>
      <c r="E94" s="12"/>
    </row>
    <row r="95" spans="2:5" hidden="1" x14ac:dyDescent="0.2">
      <c r="B95" t="s">
        <v>199</v>
      </c>
      <c r="C95" s="12">
        <f>'19_20 District Budget Summ-16'!W165</f>
        <v>0</v>
      </c>
      <c r="D95" s="12">
        <f>'PCFP-All Expense AA-1 Modi-16'!J77</f>
        <v>100248441.66</v>
      </c>
      <c r="E95" s="12"/>
    </row>
    <row r="96" spans="2:5" hidden="1" x14ac:dyDescent="0.2">
      <c r="B96" t="s">
        <v>200</v>
      </c>
      <c r="C96" s="12">
        <f>'19_20 District Budget Summ-16'!W166</f>
        <v>0</v>
      </c>
      <c r="D96" s="12">
        <f>'PCFP-All Expense AA-1 Modi-16'!J78</f>
        <v>0</v>
      </c>
      <c r="E96" s="12"/>
    </row>
    <row r="97" spans="2:5" hidden="1" x14ac:dyDescent="0.2">
      <c r="B97" t="s">
        <v>201</v>
      </c>
      <c r="C97" s="12">
        <f>'19_20 District Budget Summ-16'!W167</f>
        <v>0</v>
      </c>
      <c r="D97" s="12">
        <f>'PCFP-All Expense AA-1 Modi-16'!J79</f>
        <v>0</v>
      </c>
      <c r="E97" s="12"/>
    </row>
    <row r="98" spans="2:5" hidden="1" x14ac:dyDescent="0.2">
      <c r="B98" t="s">
        <v>202</v>
      </c>
      <c r="C98" s="12">
        <f>'19_20 District Budget Summ-16'!W168</f>
        <v>0</v>
      </c>
      <c r="D98" s="12">
        <f>'PCFP-All Expense AA-1 Modi-16'!J80</f>
        <v>0</v>
      </c>
      <c r="E98" s="12"/>
    </row>
    <row r="99" spans="2:5" hidden="1" x14ac:dyDescent="0.2">
      <c r="B99" t="s">
        <v>203</v>
      </c>
      <c r="C99" s="12">
        <f>'19_20 District Budget Summ-16'!W169</f>
        <v>0</v>
      </c>
      <c r="D99" s="12">
        <f>'PCFP-All Expense AA-1 Modi-16'!J81</f>
        <v>0</v>
      </c>
      <c r="E99" s="12"/>
    </row>
    <row r="100" spans="2:5" hidden="1" x14ac:dyDescent="0.2">
      <c r="B100" t="s">
        <v>204</v>
      </c>
      <c r="C100" s="12">
        <f>'19_20 District Budget Summ-16'!W170</f>
        <v>0</v>
      </c>
      <c r="D100" s="12">
        <f>'PCFP-All Expense AA-1 Modi-16'!J82</f>
        <v>40710538</v>
      </c>
      <c r="E100" s="12"/>
    </row>
    <row r="101" spans="2:5" hidden="1" x14ac:dyDescent="0.2">
      <c r="B101" t="s">
        <v>205</v>
      </c>
      <c r="C101" s="12">
        <f>'19_20 District Budget Summ-16'!W171</f>
        <v>0</v>
      </c>
      <c r="D101" s="12">
        <f>'PCFP-All Expense AA-1 Modi-16'!J83</f>
        <v>0</v>
      </c>
      <c r="E101" s="12"/>
    </row>
    <row r="102" spans="2:5" hidden="1" x14ac:dyDescent="0.2">
      <c r="B102" t="s">
        <v>206</v>
      </c>
      <c r="C102" s="12">
        <f>'19_20 District Budget Summ-16'!W172</f>
        <v>0</v>
      </c>
      <c r="D102" s="12">
        <f>'PCFP-All Expense AA-1 Modi-16'!J84</f>
        <v>0</v>
      </c>
      <c r="E102" s="12"/>
    </row>
    <row r="103" spans="2:5" hidden="1" x14ac:dyDescent="0.2">
      <c r="B103" t="s">
        <v>207</v>
      </c>
      <c r="C103" s="12">
        <f>'19_20 District Budget Summ-16'!W173</f>
        <v>0</v>
      </c>
      <c r="D103" s="12">
        <f>'PCFP-All Expense AA-1 Modi-16'!J85</f>
        <v>0</v>
      </c>
      <c r="E103" s="12"/>
    </row>
    <row r="104" spans="2:5" hidden="1" x14ac:dyDescent="0.2">
      <c r="B104" t="s">
        <v>208</v>
      </c>
      <c r="C104" s="12">
        <f>'19_20 District Budget Summ-16'!W174</f>
        <v>0</v>
      </c>
      <c r="D104" s="12">
        <f>'PCFP-All Expense AA-1 Modi-16'!J86</f>
        <v>0</v>
      </c>
      <c r="E104" s="12"/>
    </row>
    <row r="105" spans="2:5" hidden="1" x14ac:dyDescent="0.2">
      <c r="B105" t="s">
        <v>209</v>
      </c>
      <c r="C105" s="12">
        <f>'19_20 District Budget Summ-16'!W175</f>
        <v>0</v>
      </c>
      <c r="D105" s="12">
        <f>'PCFP-All Expense AA-1 Modi-16'!J87</f>
        <v>0</v>
      </c>
      <c r="E105" s="12"/>
    </row>
    <row r="106" spans="2:5" hidden="1" x14ac:dyDescent="0.2">
      <c r="B106" t="s">
        <v>210</v>
      </c>
      <c r="C106" s="12">
        <f>'19_20 District Budget Summ-16'!W176</f>
        <v>0</v>
      </c>
      <c r="D106" s="12">
        <f>'PCFP-All Expense AA-1 Modi-16'!J88</f>
        <v>0</v>
      </c>
      <c r="E106" s="12"/>
    </row>
    <row r="107" spans="2:5" hidden="1" x14ac:dyDescent="0.2">
      <c r="B107" t="s">
        <v>211</v>
      </c>
      <c r="C107" s="12">
        <f>'19_20 District Budget Summ-16'!W177</f>
        <v>0</v>
      </c>
      <c r="D107" s="12">
        <f>'PCFP-All Expense AA-1 Modi-16'!J89</f>
        <v>0</v>
      </c>
      <c r="E107" s="12"/>
    </row>
    <row r="108" spans="2:5" hidden="1" x14ac:dyDescent="0.2">
      <c r="B108" t="s">
        <v>212</v>
      </c>
      <c r="C108" s="12">
        <f>'19_20 District Budget Summ-16'!W178</f>
        <v>0</v>
      </c>
      <c r="D108" s="12">
        <f>'PCFP-All Expense AA-1 Modi-16'!J90</f>
        <v>0</v>
      </c>
      <c r="E108" s="12"/>
    </row>
    <row r="109" spans="2:5" hidden="1" x14ac:dyDescent="0.2">
      <c r="B109" t="s">
        <v>213</v>
      </c>
      <c r="C109" s="12">
        <f>'19_20 District Budget Summ-16'!W179</f>
        <v>0</v>
      </c>
      <c r="D109" s="12">
        <f>'PCFP-All Expense AA-1 Modi-16'!J91</f>
        <v>0</v>
      </c>
      <c r="E109" s="12"/>
    </row>
    <row r="110" spans="2:5" hidden="1" x14ac:dyDescent="0.2">
      <c r="B110" t="s">
        <v>214</v>
      </c>
      <c r="C110" s="12">
        <f>'19_20 District Budget Summ-16'!W180</f>
        <v>0</v>
      </c>
      <c r="D110" s="12">
        <f>'PCFP-All Expense AA-1 Modi-16'!J92</f>
        <v>4968947</v>
      </c>
      <c r="E110" s="12"/>
    </row>
    <row r="111" spans="2:5" hidden="1" x14ac:dyDescent="0.2">
      <c r="B111" t="s">
        <v>215</v>
      </c>
      <c r="C111" s="12">
        <f>'19_20 District Budget Summ-16'!W181</f>
        <v>0</v>
      </c>
      <c r="D111" s="12">
        <f>'PCFP-All Expense AA-1 Modi-16'!J93</f>
        <v>0</v>
      </c>
      <c r="E111" s="12"/>
    </row>
    <row r="112" spans="2:5" hidden="1" x14ac:dyDescent="0.2">
      <c r="B112" t="s">
        <v>216</v>
      </c>
      <c r="C112" s="12">
        <f>'19_20 District Budget Summ-16'!W182</f>
        <v>0</v>
      </c>
      <c r="D112" s="12">
        <f>'PCFP-All Expense AA-1 Modi-16'!J94</f>
        <v>0</v>
      </c>
      <c r="E112" s="12"/>
    </row>
    <row r="113" spans="1:5" hidden="1" x14ac:dyDescent="0.2">
      <c r="B113" t="s">
        <v>217</v>
      </c>
      <c r="C113" s="12">
        <f>'19_20 District Budget Summ-16'!W183</f>
        <v>0</v>
      </c>
      <c r="D113" s="12">
        <f>'PCFP-All Expense AA-1 Modi-16'!J95</f>
        <v>0</v>
      </c>
      <c r="E113" s="12"/>
    </row>
    <row r="114" spans="1:5" hidden="1" x14ac:dyDescent="0.2">
      <c r="B114" t="s">
        <v>218</v>
      </c>
      <c r="C114" s="12">
        <f>'19_20 District Budget Summ-16'!W184</f>
        <v>0</v>
      </c>
      <c r="D114" s="12">
        <f>'PCFP-All Expense AA-1 Modi-16'!J96</f>
        <v>0</v>
      </c>
      <c r="E114" s="12"/>
    </row>
    <row r="115" spans="1:5" hidden="1" x14ac:dyDescent="0.2">
      <c r="B115" t="s">
        <v>219</v>
      </c>
      <c r="C115" s="12">
        <f>'19_20 District Budget Summ-16'!W185</f>
        <v>0</v>
      </c>
      <c r="D115" s="12">
        <f>'PCFP-All Expense AA-1 Modi-16'!J97</f>
        <v>0</v>
      </c>
      <c r="E115" s="12"/>
    </row>
    <row r="116" spans="1:5" hidden="1" x14ac:dyDescent="0.2">
      <c r="B116" t="s">
        <v>220</v>
      </c>
      <c r="C116" s="12">
        <f>'19_20 District Budget Summ-16'!W186</f>
        <v>0</v>
      </c>
      <c r="D116" s="12">
        <f>'PCFP-All Expense AA-1 Modi-16'!J98</f>
        <v>0</v>
      </c>
      <c r="E116" s="12"/>
    </row>
    <row r="117" spans="1:5" hidden="1" x14ac:dyDescent="0.2">
      <c r="B117" t="s">
        <v>221</v>
      </c>
      <c r="C117" s="12">
        <f>'19_20 District Budget Summ-16'!W187</f>
        <v>0</v>
      </c>
      <c r="D117" s="12">
        <f>'PCFP-All Expense AA-1 Modi-16'!J99</f>
        <v>0</v>
      </c>
      <c r="E117" s="12"/>
    </row>
    <row r="118" spans="1:5" hidden="1" x14ac:dyDescent="0.2">
      <c r="A118" s="2" t="s">
        <v>10</v>
      </c>
      <c r="B118" t="s">
        <v>142</v>
      </c>
      <c r="C118" s="12">
        <f>'19_20 District Budget Summ-16'!W188</f>
        <v>0</v>
      </c>
      <c r="D118" s="12">
        <f>'PCFP-All Expense AA-1 Modi-16'!J100</f>
        <v>5029486</v>
      </c>
      <c r="E118" s="12"/>
    </row>
    <row r="119" spans="1:5" hidden="1" x14ac:dyDescent="0.2">
      <c r="A119" s="2" t="s">
        <v>10</v>
      </c>
      <c r="B119" t="s">
        <v>141</v>
      </c>
      <c r="C119" s="12">
        <f>'19_20 District Budget Summ-16'!W189</f>
        <v>0</v>
      </c>
      <c r="D119" s="12">
        <f>'PCFP-All Expense AA-1 Modi-16'!J101</f>
        <v>9180465</v>
      </c>
      <c r="E119" s="12"/>
    </row>
    <row r="120" spans="1:5" hidden="1" x14ac:dyDescent="0.2">
      <c r="A120" s="2" t="s">
        <v>33</v>
      </c>
      <c r="B120" t="s">
        <v>222</v>
      </c>
      <c r="C120" s="12">
        <f>'19_20 District Budget Summ-16'!W190</f>
        <v>0</v>
      </c>
      <c r="D120" s="12">
        <f>'PCFP-All Expense AA-1 Modi-16'!J102</f>
        <v>0</v>
      </c>
      <c r="E120" s="12"/>
    </row>
    <row r="121" spans="1:5" hidden="1" x14ac:dyDescent="0.2">
      <c r="A121" s="2" t="s">
        <v>10</v>
      </c>
      <c r="B121" t="s">
        <v>138</v>
      </c>
      <c r="C121" s="12">
        <f>'19_20 District Budget Summ-16'!W191</f>
        <v>0</v>
      </c>
      <c r="D121" s="12">
        <f>'PCFP-All Expense AA-1 Modi-16'!J103</f>
        <v>1839858</v>
      </c>
      <c r="E121" s="12"/>
    </row>
    <row r="122" spans="1:5" hidden="1" x14ac:dyDescent="0.2">
      <c r="A122" s="2" t="s">
        <v>10</v>
      </c>
      <c r="B122" t="s">
        <v>136</v>
      </c>
      <c r="C122" s="12">
        <f>'19_20 District Budget Summ-16'!W192</f>
        <v>0</v>
      </c>
      <c r="D122" s="12">
        <f>'PCFP-All Expense AA-1 Modi-16'!J104</f>
        <v>77937164</v>
      </c>
      <c r="E122" s="12"/>
    </row>
    <row r="123" spans="1:5" hidden="1" x14ac:dyDescent="0.2">
      <c r="B123" t="s">
        <v>223</v>
      </c>
      <c r="C123" s="12">
        <f>'19_20 District Budget Summ-16'!W193</f>
        <v>0</v>
      </c>
      <c r="D123" s="12">
        <f>'PCFP-All Expense AA-1 Modi-16'!J105</f>
        <v>0</v>
      </c>
      <c r="E123" s="12"/>
    </row>
    <row r="124" spans="1:5" hidden="1" x14ac:dyDescent="0.2">
      <c r="B124" t="s">
        <v>224</v>
      </c>
      <c r="C124" s="12">
        <f>'19_20 District Budget Summ-16'!W194</f>
        <v>0</v>
      </c>
      <c r="D124" s="12">
        <f>'PCFP-All Expense AA-1 Modi-16'!J106</f>
        <v>0</v>
      </c>
      <c r="E124" s="12"/>
    </row>
    <row r="125" spans="1:5" hidden="1" x14ac:dyDescent="0.2">
      <c r="B125" t="s">
        <v>225</v>
      </c>
      <c r="C125" s="12">
        <f>'19_20 District Budget Summ-16'!W195</f>
        <v>0</v>
      </c>
      <c r="D125" s="12">
        <f>'PCFP-All Expense AA-1 Modi-16'!J107</f>
        <v>0</v>
      </c>
      <c r="E125" s="12"/>
    </row>
    <row r="126" spans="1:5" hidden="1" x14ac:dyDescent="0.2">
      <c r="B126" t="s">
        <v>226</v>
      </c>
      <c r="C126" s="12">
        <f>'19_20 District Budget Summ-16'!W196</f>
        <v>0</v>
      </c>
      <c r="D126" s="12">
        <f>'PCFP-All Expense AA-1 Modi-16'!J108</f>
        <v>0</v>
      </c>
      <c r="E126" s="12"/>
    </row>
    <row r="127" spans="1:5" hidden="1" x14ac:dyDescent="0.2">
      <c r="B127" t="s">
        <v>227</v>
      </c>
      <c r="C127" s="12">
        <f>'19_20 District Budget Summ-16'!W197</f>
        <v>0</v>
      </c>
      <c r="D127" s="12">
        <f>'PCFP-All Expense AA-1 Modi-16'!J109</f>
        <v>0</v>
      </c>
      <c r="E127" s="12"/>
    </row>
    <row r="128" spans="1:5" hidden="1" x14ac:dyDescent="0.2">
      <c r="B128" t="s">
        <v>228</v>
      </c>
      <c r="C128" s="12">
        <f>'19_20 District Budget Summ-16'!W198</f>
        <v>0</v>
      </c>
      <c r="D128" s="12">
        <f>'PCFP-All Expense AA-1 Modi-16'!J110</f>
        <v>0</v>
      </c>
      <c r="E128" s="12"/>
    </row>
    <row r="129" spans="2:5" hidden="1" x14ac:dyDescent="0.2">
      <c r="B129" t="s">
        <v>229</v>
      </c>
      <c r="C129" s="12">
        <f>'19_20 District Budget Summ-16'!W199</f>
        <v>0</v>
      </c>
      <c r="D129" s="12">
        <f>'PCFP-All Expense AA-1 Modi-16'!J111</f>
        <v>0</v>
      </c>
      <c r="E129" s="12"/>
    </row>
    <row r="130" spans="2:5" hidden="1" x14ac:dyDescent="0.2">
      <c r="B130" t="s">
        <v>230</v>
      </c>
      <c r="C130" s="12">
        <f>'19_20 District Budget Summ-16'!W200</f>
        <v>0</v>
      </c>
      <c r="D130" s="12">
        <f>'PCFP-All Expense AA-1 Modi-16'!J112</f>
        <v>0</v>
      </c>
      <c r="E130" s="12"/>
    </row>
    <row r="131" spans="2:5" hidden="1" x14ac:dyDescent="0.2">
      <c r="B131" t="s">
        <v>231</v>
      </c>
      <c r="C131" s="12">
        <f>'19_20 District Budget Summ-16'!W201</f>
        <v>0</v>
      </c>
      <c r="D131" s="12">
        <f>'PCFP-All Expense AA-1 Modi-16'!J113</f>
        <v>0</v>
      </c>
      <c r="E131" s="12"/>
    </row>
    <row r="132" spans="2:5" hidden="1" x14ac:dyDescent="0.2">
      <c r="B132" t="s">
        <v>232</v>
      </c>
      <c r="C132" s="12">
        <f>'19_20 District Budget Summ-16'!W202</f>
        <v>0</v>
      </c>
      <c r="D132" s="12">
        <f>'PCFP-All Expense AA-1 Modi-16'!J114</f>
        <v>0</v>
      </c>
      <c r="E132" s="12"/>
    </row>
    <row r="133" spans="2:5" hidden="1" x14ac:dyDescent="0.2">
      <c r="B133" t="s">
        <v>233</v>
      </c>
      <c r="C133" s="12">
        <f>'19_20 District Budget Summ-16'!W203</f>
        <v>0</v>
      </c>
      <c r="D133" s="12">
        <f>'PCFP-All Expense AA-1 Modi-16'!J115</f>
        <v>0</v>
      </c>
      <c r="E133" s="12"/>
    </row>
    <row r="134" spans="2:5" hidden="1" x14ac:dyDescent="0.2">
      <c r="B134" t="s">
        <v>234</v>
      </c>
      <c r="C134" s="12">
        <f>'19_20 District Budget Summ-16'!W204</f>
        <v>0</v>
      </c>
      <c r="D134" s="12">
        <f>'PCFP-All Expense AA-1 Modi-16'!J116</f>
        <v>0</v>
      </c>
      <c r="E134" s="12"/>
    </row>
    <row r="135" spans="2:5" hidden="1" x14ac:dyDescent="0.2">
      <c r="B135" t="s">
        <v>9</v>
      </c>
      <c r="C135" s="12">
        <f>'19_20 District Budget Summ-16'!W205</f>
        <v>-45284749</v>
      </c>
      <c r="D135" s="12">
        <f>'PCFP-All Expense AA-1 Modi-16'!J117</f>
        <v>0</v>
      </c>
      <c r="E135" s="12"/>
    </row>
    <row r="136" spans="2:5" hidden="1" x14ac:dyDescent="0.2">
      <c r="B136" s="3" t="s">
        <v>235</v>
      </c>
      <c r="C136" s="12">
        <f>'19_20 District Budget Summ-16'!W207</f>
        <v>0</v>
      </c>
      <c r="D136" s="12">
        <f>'PCFP-All Expense AA-1 Modi-16'!J118</f>
        <v>0</v>
      </c>
      <c r="E136" s="12"/>
    </row>
    <row r="137" spans="2:5" hidden="1" x14ac:dyDescent="0.2">
      <c r="B137" t="s">
        <v>236</v>
      </c>
      <c r="C137" s="12">
        <f>'19_20 District Budget Summ-16'!W208</f>
        <v>0</v>
      </c>
      <c r="D137" s="12">
        <f>'PCFP-All Expense AA-1 Modi-16'!J119</f>
        <v>26753238</v>
      </c>
      <c r="E137" s="12"/>
    </row>
    <row r="138" spans="2:5" hidden="1" x14ac:dyDescent="0.2">
      <c r="B138" t="s">
        <v>237</v>
      </c>
      <c r="C138" s="12">
        <f>'19_20 District Budget Summ-16'!W209</f>
        <v>0</v>
      </c>
      <c r="D138" s="12">
        <f>'PCFP-All Expense AA-1 Modi-16'!J120</f>
        <v>0</v>
      </c>
      <c r="E138" s="12"/>
    </row>
    <row r="139" spans="2:5" hidden="1" x14ac:dyDescent="0.2">
      <c r="B139" t="s">
        <v>238</v>
      </c>
      <c r="C139" s="12">
        <f>'19_20 District Budget Summ-16'!W210</f>
        <v>0</v>
      </c>
      <c r="D139" s="12">
        <f>'PCFP-All Expense AA-1 Modi-16'!J121</f>
        <v>0</v>
      </c>
      <c r="E139" s="12"/>
    </row>
    <row r="140" spans="2:5" hidden="1" x14ac:dyDescent="0.2">
      <c r="B140" t="s">
        <v>239</v>
      </c>
      <c r="C140" s="12">
        <f>'19_20 District Budget Summ-16'!W211</f>
        <v>0</v>
      </c>
      <c r="D140" s="12">
        <f>'PCFP-All Expense AA-1 Modi-16'!J122</f>
        <v>0</v>
      </c>
      <c r="E140" s="12"/>
    </row>
    <row r="141" spans="2:5" hidden="1" x14ac:dyDescent="0.2">
      <c r="B141" t="s">
        <v>240</v>
      </c>
      <c r="C141" s="12">
        <f>'19_20 District Budget Summ-16'!W212</f>
        <v>0</v>
      </c>
      <c r="D141" s="12">
        <f>'PCFP-All Expense AA-1 Modi-16'!J123</f>
        <v>0</v>
      </c>
      <c r="E141" s="12"/>
    </row>
    <row r="142" spans="2:5" hidden="1" x14ac:dyDescent="0.2">
      <c r="B142" t="s">
        <v>241</v>
      </c>
      <c r="C142" s="12">
        <f>'19_20 District Budget Summ-16'!W213</f>
        <v>0</v>
      </c>
      <c r="D142" s="12">
        <f>'PCFP-All Expense AA-1 Modi-16'!J124</f>
        <v>0</v>
      </c>
      <c r="E142" s="12"/>
    </row>
    <row r="143" spans="2:5" hidden="1" x14ac:dyDescent="0.2">
      <c r="B143" t="s">
        <v>242</v>
      </c>
      <c r="C143" s="12">
        <f>'19_20 District Budget Summ-16'!W214</f>
        <v>0</v>
      </c>
      <c r="D143" s="12">
        <f>'PCFP-All Expense AA-1 Modi-16'!J125</f>
        <v>0</v>
      </c>
      <c r="E143" s="12"/>
    </row>
    <row r="144" spans="2:5" hidden="1" x14ac:dyDescent="0.2">
      <c r="B144" t="s">
        <v>243</v>
      </c>
      <c r="C144" s="12">
        <f>'19_20 District Budget Summ-16'!W215</f>
        <v>0</v>
      </c>
      <c r="D144" s="12">
        <f>'PCFP-All Expense AA-1 Modi-16'!J126</f>
        <v>0</v>
      </c>
      <c r="E144" s="12"/>
    </row>
    <row r="145" spans="2:5" hidden="1" x14ac:dyDescent="0.2">
      <c r="B145" t="s">
        <v>244</v>
      </c>
      <c r="C145" s="12">
        <f>'19_20 District Budget Summ-16'!W216</f>
        <v>0</v>
      </c>
      <c r="D145" s="12">
        <f>'PCFP-All Expense AA-1 Modi-16'!J127</f>
        <v>0</v>
      </c>
      <c r="E145" s="12"/>
    </row>
    <row r="146" spans="2:5" hidden="1" x14ac:dyDescent="0.2">
      <c r="B146" s="2" t="s">
        <v>245</v>
      </c>
      <c r="E146" s="12"/>
    </row>
    <row r="147" spans="2:5" hidden="1" x14ac:dyDescent="0.2">
      <c r="E147" s="12"/>
    </row>
    <row r="148" spans="2:5" hidden="1" x14ac:dyDescent="0.2">
      <c r="B148" t="s">
        <v>246</v>
      </c>
      <c r="C148" s="12">
        <f>'19_20 District Budget Summ-16'!W218</f>
        <v>27164822.5</v>
      </c>
      <c r="D148" s="12">
        <f>'PCFP-All Expense AA-1 Modi-16'!J129</f>
        <v>22864804</v>
      </c>
      <c r="E148" s="12"/>
    </row>
    <row r="149" spans="2:5" hidden="1" x14ac:dyDescent="0.2">
      <c r="B149" t="s">
        <v>247</v>
      </c>
      <c r="C149" s="12">
        <f>'19_20 District Budget Summ-16'!W219</f>
        <v>0</v>
      </c>
      <c r="D149" s="12">
        <f>'PCFP-All Expense AA-1 Modi-16'!J130</f>
        <v>0</v>
      </c>
      <c r="E149" s="12"/>
    </row>
    <row r="150" spans="2:5" hidden="1" x14ac:dyDescent="0.2">
      <c r="B150" t="s">
        <v>248</v>
      </c>
      <c r="C150" s="12">
        <f>'19_20 District Budget Summ-16'!W220</f>
        <v>0</v>
      </c>
      <c r="D150" s="12">
        <f>'PCFP-All Expense AA-1 Modi-16'!J131</f>
        <v>0</v>
      </c>
      <c r="E150" s="12"/>
    </row>
    <row r="151" spans="2:5" hidden="1" x14ac:dyDescent="0.2">
      <c r="B151" t="s">
        <v>249</v>
      </c>
      <c r="C151" s="12">
        <f>'19_20 District Budget Summ-16'!W221</f>
        <v>0</v>
      </c>
      <c r="D151" s="12">
        <f>'PCFP-All Expense AA-1 Modi-16'!J132</f>
        <v>0</v>
      </c>
      <c r="E151" s="12"/>
    </row>
    <row r="152" spans="2:5" hidden="1" x14ac:dyDescent="0.2">
      <c r="B152" t="s">
        <v>250</v>
      </c>
      <c r="C152" s="12">
        <f>'19_20 District Budget Summ-16'!W222</f>
        <v>88692487</v>
      </c>
      <c r="D152" s="12">
        <f>'PCFP-All Expense AA-1 Modi-16'!J133</f>
        <v>138641031</v>
      </c>
      <c r="E152" s="12"/>
    </row>
    <row r="153" spans="2:5" hidden="1" x14ac:dyDescent="0.2">
      <c r="B153" t="s">
        <v>251</v>
      </c>
      <c r="C153" s="12">
        <f>'19_20 District Budget Summ-16'!W223</f>
        <v>3584133</v>
      </c>
      <c r="D153" s="12">
        <f>'PCFP-All Expense AA-1 Modi-16'!J134</f>
        <v>4835985</v>
      </c>
      <c r="E153" s="12"/>
    </row>
    <row r="154" spans="2:5" hidden="1" x14ac:dyDescent="0.2">
      <c r="B154" t="s">
        <v>252</v>
      </c>
      <c r="C154" s="12">
        <f>'19_20 District Budget Summ-16'!W224</f>
        <v>3022623</v>
      </c>
      <c r="D154" s="12">
        <f>'PCFP-All Expense AA-1 Modi-16'!J135</f>
        <v>3583055</v>
      </c>
      <c r="E154" s="12"/>
    </row>
    <row r="155" spans="2:5" hidden="1" x14ac:dyDescent="0.2">
      <c r="B155" t="s">
        <v>253</v>
      </c>
      <c r="C155" s="12">
        <f>'19_20 District Budget Summ-16'!W225</f>
        <v>0</v>
      </c>
      <c r="D155" s="12">
        <f>'PCFP-All Expense AA-1 Modi-16'!J136</f>
        <v>0</v>
      </c>
      <c r="E155" s="12"/>
    </row>
    <row r="156" spans="2:5" hidden="1" x14ac:dyDescent="0.2">
      <c r="B156" t="s">
        <v>254</v>
      </c>
      <c r="C156" s="12">
        <f>'19_20 District Budget Summ-16'!W226</f>
        <v>5990019</v>
      </c>
      <c r="D156" s="12">
        <f>'PCFP-All Expense AA-1 Modi-16'!J137</f>
        <v>24276021</v>
      </c>
      <c r="E156" s="12"/>
    </row>
    <row r="157" spans="2:5" hidden="1" x14ac:dyDescent="0.2">
      <c r="B157" t="s">
        <v>255</v>
      </c>
      <c r="C157" s="12">
        <f>'19_20 District Budget Summ-16'!W227</f>
        <v>0</v>
      </c>
      <c r="D157" s="12">
        <f>'PCFP-All Expense AA-1 Modi-16'!J138</f>
        <v>0</v>
      </c>
      <c r="E157" s="12"/>
    </row>
    <row r="158" spans="2:5" hidden="1" x14ac:dyDescent="0.2">
      <c r="B158" t="s">
        <v>256</v>
      </c>
      <c r="C158" s="12">
        <f>'19_20 District Budget Summ-16'!W228</f>
        <v>0</v>
      </c>
      <c r="D158" s="12">
        <f>'PCFP-All Expense AA-1 Modi-16'!J139</f>
        <v>0</v>
      </c>
      <c r="E158" s="12"/>
    </row>
    <row r="159" spans="2:5" hidden="1" x14ac:dyDescent="0.2">
      <c r="B159" t="s">
        <v>257</v>
      </c>
      <c r="C159" s="12">
        <f>'19_20 District Budget Summ-16'!W229</f>
        <v>0</v>
      </c>
      <c r="D159" s="12">
        <f>'PCFP-All Expense AA-1 Modi-16'!J140</f>
        <v>0</v>
      </c>
      <c r="E159" s="12"/>
    </row>
    <row r="160" spans="2:5" hidden="1" x14ac:dyDescent="0.2">
      <c r="B160" t="s">
        <v>258</v>
      </c>
      <c r="C160" s="12">
        <f>'19_20 District Budget Summ-16'!W230</f>
        <v>0</v>
      </c>
      <c r="D160" s="12">
        <f>'PCFP-All Expense AA-1 Modi-16'!J141</f>
        <v>0</v>
      </c>
      <c r="E160" s="12"/>
    </row>
    <row r="161" spans="2:5" hidden="1" x14ac:dyDescent="0.2">
      <c r="B161" t="s">
        <v>259</v>
      </c>
      <c r="C161" s="12">
        <f>'19_20 District Budget Summ-16'!W231</f>
        <v>0</v>
      </c>
      <c r="D161" s="12">
        <f>'PCFP-All Expense AA-1 Modi-16'!J142</f>
        <v>0</v>
      </c>
      <c r="E161" s="12"/>
    </row>
    <row r="162" spans="2:5" hidden="1" x14ac:dyDescent="0.2">
      <c r="B162" t="s">
        <v>260</v>
      </c>
      <c r="C162" s="12">
        <v>0</v>
      </c>
      <c r="D162" s="12">
        <f>'PCFP-All Expense AA-1 Modi-16'!J143</f>
        <v>0</v>
      </c>
      <c r="E162" s="12"/>
    </row>
    <row r="163" spans="2:5" hidden="1" x14ac:dyDescent="0.2">
      <c r="B163" t="str">
        <f>'PCFP-All Expense AA-1 Modi-16'!B146</f>
        <v>Less:  Interfund Transfers</v>
      </c>
      <c r="C163" s="12">
        <v>0</v>
      </c>
      <c r="D163" s="12">
        <f>'PCFP-All Expense AA-1 Modi-16'!J146</f>
        <v>-93666373</v>
      </c>
      <c r="E163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7CB23-293D-48A7-9618-EA6D5197E001}">
  <dimension ref="A1:Z233"/>
  <sheetViews>
    <sheetView showGridLine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 x14ac:dyDescent="0.2"/>
  <cols>
    <col min="1" max="1" width="11.7109375" style="2" bestFit="1" customWidth="1"/>
    <col min="2" max="2" width="41.140625" style="3" bestFit="1" customWidth="1"/>
    <col min="3" max="3" width="23" style="933" bestFit="1" customWidth="1"/>
    <col min="4" max="4" width="19.140625" style="933" bestFit="1" customWidth="1"/>
    <col min="5" max="5" width="20.5703125" style="933" bestFit="1" customWidth="1"/>
    <col min="6" max="6" width="23.42578125" style="933" bestFit="1" customWidth="1"/>
    <col min="7" max="7" width="22.5703125" style="933" bestFit="1" customWidth="1"/>
    <col min="8" max="9" width="20.5703125" style="933" bestFit="1" customWidth="1"/>
    <col min="10" max="10" width="19.85546875" style="933" bestFit="1" customWidth="1"/>
    <col min="11" max="11" width="22" style="933" bestFit="1" customWidth="1"/>
    <col min="12" max="12" width="21.85546875" style="933" bestFit="1" customWidth="1"/>
    <col min="13" max="14" width="20.85546875" style="933" bestFit="1" customWidth="1"/>
    <col min="15" max="15" width="21.5703125" style="933" bestFit="1" customWidth="1"/>
    <col min="16" max="16" width="21.85546875" style="933" bestFit="1" customWidth="1"/>
    <col min="17" max="17" width="20.42578125" style="933" bestFit="1" customWidth="1"/>
    <col min="18" max="18" width="22" style="933" bestFit="1" customWidth="1"/>
    <col min="19" max="19" width="19.85546875" style="933" bestFit="1" customWidth="1"/>
    <col min="20" max="20" width="22" style="933" bestFit="1" customWidth="1"/>
    <col min="21" max="21" width="21.28515625" style="933" bestFit="1" customWidth="1"/>
    <col min="22" max="22" width="22.7109375" style="933" bestFit="1" customWidth="1"/>
    <col min="23" max="23" width="39.7109375" style="3" bestFit="1" customWidth="1"/>
    <col min="24" max="24" width="19.28515625" style="3" bestFit="1" customWidth="1"/>
    <col min="25" max="25" width="16.5703125" hidden="1" customWidth="1"/>
    <col min="26" max="26" width="20.7109375" hidden="1" customWidth="1"/>
  </cols>
  <sheetData>
    <row r="1" spans="1:26" s="8" customFormat="1" ht="18" x14ac:dyDescent="0.25">
      <c r="A1" s="6"/>
      <c r="B1" s="9" t="s">
        <v>261</v>
      </c>
      <c r="C1" s="535" t="s">
        <v>751</v>
      </c>
      <c r="D1" s="10" t="s">
        <v>119</v>
      </c>
      <c r="E1" s="332" t="s">
        <v>262</v>
      </c>
      <c r="F1" s="36">
        <v>1548850228.0299997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10"/>
      <c r="U1" s="10"/>
      <c r="V1" s="10"/>
    </row>
    <row r="2" spans="1:26" x14ac:dyDescent="0.2">
      <c r="C2" s="933" t="s">
        <v>754</v>
      </c>
      <c r="D2" s="933" t="s">
        <v>754</v>
      </c>
      <c r="E2" s="933" t="s">
        <v>754</v>
      </c>
      <c r="F2" s="933" t="s">
        <v>754</v>
      </c>
      <c r="G2" s="933" t="s">
        <v>754</v>
      </c>
      <c r="H2" s="933" t="s">
        <v>754</v>
      </c>
      <c r="I2" s="933" t="s">
        <v>754</v>
      </c>
      <c r="J2" s="933" t="s">
        <v>754</v>
      </c>
      <c r="K2" s="933" t="s">
        <v>754</v>
      </c>
      <c r="L2" s="933" t="s">
        <v>754</v>
      </c>
      <c r="M2" s="933" t="s">
        <v>754</v>
      </c>
      <c r="N2" s="933" t="s">
        <v>754</v>
      </c>
      <c r="O2" s="933" t="s">
        <v>754</v>
      </c>
      <c r="P2" s="933" t="s">
        <v>754</v>
      </c>
      <c r="Q2" s="933" t="s">
        <v>754</v>
      </c>
      <c r="R2" s="933" t="s">
        <v>754</v>
      </c>
      <c r="S2" s="933" t="s">
        <v>754</v>
      </c>
      <c r="T2" s="933" t="s">
        <v>754</v>
      </c>
      <c r="U2" s="933" t="s">
        <v>754</v>
      </c>
      <c r="V2" s="933" t="s">
        <v>754</v>
      </c>
    </row>
    <row r="3" spans="1:26" s="555" customFormat="1" ht="25.5" x14ac:dyDescent="0.2">
      <c r="A3" s="552"/>
      <c r="B3" s="552" t="s">
        <v>120</v>
      </c>
      <c r="C3" s="553" t="s">
        <v>263</v>
      </c>
      <c r="D3" s="553" t="s">
        <v>185</v>
      </c>
      <c r="E3" s="553" t="s">
        <v>755</v>
      </c>
      <c r="F3" s="553" t="s">
        <v>756</v>
      </c>
      <c r="G3" s="553" t="s">
        <v>757</v>
      </c>
      <c r="H3" s="554" t="s">
        <v>758</v>
      </c>
      <c r="I3" s="554" t="s">
        <v>759</v>
      </c>
      <c r="J3" s="554" t="s">
        <v>760</v>
      </c>
      <c r="K3" s="554" t="s">
        <v>761</v>
      </c>
      <c r="L3" s="553" t="s">
        <v>235</v>
      </c>
      <c r="M3" s="553" t="s">
        <v>9</v>
      </c>
      <c r="N3" s="553" t="s">
        <v>191</v>
      </c>
      <c r="O3" s="553" t="s">
        <v>173</v>
      </c>
      <c r="P3" s="553" t="s">
        <v>762</v>
      </c>
      <c r="Q3" s="553" t="s">
        <v>763</v>
      </c>
      <c r="R3" s="553" t="s">
        <v>764</v>
      </c>
      <c r="S3" s="553" t="s">
        <v>765</v>
      </c>
      <c r="T3" s="553" t="s">
        <v>766</v>
      </c>
      <c r="U3" s="553" t="s">
        <v>767</v>
      </c>
      <c r="V3" s="553" t="s">
        <v>272</v>
      </c>
      <c r="W3" s="959"/>
      <c r="X3" s="959"/>
    </row>
    <row r="4" spans="1:26" x14ac:dyDescent="0.2">
      <c r="B4" s="2"/>
      <c r="C4" s="19"/>
      <c r="D4" s="19"/>
      <c r="E4" s="19"/>
      <c r="F4" s="19"/>
      <c r="G4" s="19"/>
      <c r="H4" s="556"/>
      <c r="I4" s="556"/>
      <c r="J4" s="556"/>
      <c r="K4" s="556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Y4" s="17">
        <f>SUM(Y5:Y12)</f>
        <v>356984265</v>
      </c>
    </row>
    <row r="5" spans="1:26" s="3" customFormat="1" x14ac:dyDescent="0.2">
      <c r="B5" s="3" t="s">
        <v>274</v>
      </c>
      <c r="C5" s="935">
        <v>116970855</v>
      </c>
      <c r="D5" s="935">
        <v>0</v>
      </c>
      <c r="E5" s="935">
        <v>0</v>
      </c>
      <c r="F5" s="935">
        <v>0</v>
      </c>
      <c r="G5" s="935">
        <v>0</v>
      </c>
      <c r="H5" s="935">
        <v>0</v>
      </c>
      <c r="I5" s="935">
        <v>0</v>
      </c>
      <c r="J5" s="935">
        <v>0</v>
      </c>
      <c r="K5" s="935">
        <v>0</v>
      </c>
      <c r="L5" s="935">
        <v>0</v>
      </c>
      <c r="M5" s="935">
        <v>0</v>
      </c>
      <c r="N5" s="935">
        <v>0</v>
      </c>
      <c r="O5" s="935">
        <v>61764490</v>
      </c>
      <c r="P5" s="935">
        <v>0</v>
      </c>
      <c r="Q5" s="935">
        <v>0</v>
      </c>
      <c r="R5" s="935">
        <v>0</v>
      </c>
      <c r="S5" s="935">
        <v>0</v>
      </c>
      <c r="T5" s="935">
        <v>0</v>
      </c>
      <c r="U5" s="935">
        <v>0</v>
      </c>
      <c r="V5" s="935">
        <v>0</v>
      </c>
      <c r="W5" s="905" t="s">
        <v>274</v>
      </c>
      <c r="X5" s="939">
        <f t="shared" ref="X5:X34" si="0">SUM(C5:V5)</f>
        <v>178735345</v>
      </c>
      <c r="Y5" s="523">
        <f>X5-O5</f>
        <v>116970855</v>
      </c>
      <c r="Z5" s="3" t="s">
        <v>768</v>
      </c>
    </row>
    <row r="6" spans="1:26" s="3" customFormat="1" hidden="1" x14ac:dyDescent="0.2">
      <c r="B6" s="3" t="s">
        <v>474</v>
      </c>
      <c r="C6" s="935">
        <v>0</v>
      </c>
      <c r="D6" s="935">
        <v>0</v>
      </c>
      <c r="E6" s="935">
        <v>0</v>
      </c>
      <c r="F6" s="935">
        <v>0</v>
      </c>
      <c r="G6" s="935">
        <v>0</v>
      </c>
      <c r="H6" s="935">
        <v>0</v>
      </c>
      <c r="I6" s="935">
        <v>0</v>
      </c>
      <c r="J6" s="935">
        <v>0</v>
      </c>
      <c r="K6" s="935">
        <v>0</v>
      </c>
      <c r="L6" s="935">
        <v>0</v>
      </c>
      <c r="M6" s="935">
        <v>0</v>
      </c>
      <c r="N6" s="935">
        <v>0</v>
      </c>
      <c r="O6" s="935">
        <v>0</v>
      </c>
      <c r="P6" s="935">
        <v>0</v>
      </c>
      <c r="Q6" s="935">
        <v>0</v>
      </c>
      <c r="R6" s="935">
        <v>0</v>
      </c>
      <c r="S6" s="935">
        <v>0</v>
      </c>
      <c r="T6" s="935">
        <v>0</v>
      </c>
      <c r="U6" s="935">
        <v>0</v>
      </c>
      <c r="V6" s="935">
        <v>0</v>
      </c>
      <c r="W6" s="905" t="s">
        <v>474</v>
      </c>
      <c r="X6" s="939">
        <f t="shared" si="0"/>
        <v>0</v>
      </c>
      <c r="Y6" s="523">
        <f>X6-O6</f>
        <v>0</v>
      </c>
      <c r="Z6" s="3" t="s">
        <v>473</v>
      </c>
    </row>
    <row r="7" spans="1:26" s="3" customFormat="1" x14ac:dyDescent="0.2">
      <c r="B7" s="3" t="s">
        <v>276</v>
      </c>
      <c r="C7" s="935">
        <v>218447651</v>
      </c>
      <c r="D7" s="935">
        <v>0</v>
      </c>
      <c r="E7" s="935">
        <v>0</v>
      </c>
      <c r="F7" s="935">
        <v>0</v>
      </c>
      <c r="G7" s="935">
        <v>48138238</v>
      </c>
      <c r="H7" s="935">
        <v>0</v>
      </c>
      <c r="I7" s="935">
        <v>0</v>
      </c>
      <c r="J7" s="935">
        <v>0</v>
      </c>
      <c r="K7" s="935">
        <v>0</v>
      </c>
      <c r="L7" s="935">
        <v>0</v>
      </c>
      <c r="M7" s="935">
        <v>0</v>
      </c>
      <c r="N7" s="935">
        <v>0</v>
      </c>
      <c r="O7" s="935">
        <v>0</v>
      </c>
      <c r="P7" s="935">
        <v>0</v>
      </c>
      <c r="Q7" s="935">
        <v>0</v>
      </c>
      <c r="R7" s="935">
        <v>0</v>
      </c>
      <c r="S7" s="935">
        <v>0</v>
      </c>
      <c r="T7" s="935">
        <v>0</v>
      </c>
      <c r="U7" s="935">
        <v>0</v>
      </c>
      <c r="V7" s="935">
        <v>0</v>
      </c>
      <c r="W7" s="905" t="s">
        <v>276</v>
      </c>
      <c r="X7" s="939">
        <f t="shared" si="0"/>
        <v>266585889</v>
      </c>
      <c r="Y7" s="523">
        <f>X7-G7</f>
        <v>218447651</v>
      </c>
      <c r="Z7" s="3" t="s">
        <v>768</v>
      </c>
    </row>
    <row r="8" spans="1:26" s="3" customFormat="1" hidden="1" x14ac:dyDescent="0.2">
      <c r="B8" s="3" t="s">
        <v>551</v>
      </c>
      <c r="C8" s="935">
        <v>0</v>
      </c>
      <c r="D8" s="935">
        <v>0</v>
      </c>
      <c r="E8" s="935">
        <v>0</v>
      </c>
      <c r="F8" s="935">
        <v>0</v>
      </c>
      <c r="G8" s="935">
        <v>0</v>
      </c>
      <c r="H8" s="935">
        <v>0</v>
      </c>
      <c r="I8" s="935">
        <v>0</v>
      </c>
      <c r="J8" s="935">
        <v>0</v>
      </c>
      <c r="K8" s="935">
        <v>0</v>
      </c>
      <c r="L8" s="935">
        <v>0</v>
      </c>
      <c r="M8" s="935">
        <v>0</v>
      </c>
      <c r="N8" s="935">
        <v>0</v>
      </c>
      <c r="O8" s="935">
        <v>0</v>
      </c>
      <c r="P8" s="935">
        <v>0</v>
      </c>
      <c r="Q8" s="935">
        <v>0</v>
      </c>
      <c r="R8" s="935">
        <v>0</v>
      </c>
      <c r="S8" s="935">
        <v>0</v>
      </c>
      <c r="T8" s="935">
        <v>0</v>
      </c>
      <c r="U8" s="935">
        <v>0</v>
      </c>
      <c r="V8" s="935">
        <v>0</v>
      </c>
      <c r="W8" s="905" t="s">
        <v>551</v>
      </c>
      <c r="X8" s="939">
        <f t="shared" si="0"/>
        <v>0</v>
      </c>
      <c r="Y8" s="523"/>
    </row>
    <row r="9" spans="1:26" s="3" customFormat="1" hidden="1" x14ac:dyDescent="0.2">
      <c r="B9" s="3" t="s">
        <v>550</v>
      </c>
      <c r="C9" s="935">
        <v>0</v>
      </c>
      <c r="D9" s="935">
        <v>0</v>
      </c>
      <c r="E9" s="935">
        <v>0</v>
      </c>
      <c r="F9" s="935">
        <v>0</v>
      </c>
      <c r="G9" s="935">
        <v>0</v>
      </c>
      <c r="H9" s="935">
        <v>0</v>
      </c>
      <c r="I9" s="935">
        <v>0</v>
      </c>
      <c r="J9" s="935">
        <v>0</v>
      </c>
      <c r="K9" s="935">
        <v>0</v>
      </c>
      <c r="L9" s="935">
        <v>0</v>
      </c>
      <c r="M9" s="935">
        <v>0</v>
      </c>
      <c r="N9" s="935">
        <v>0</v>
      </c>
      <c r="O9" s="935">
        <v>0</v>
      </c>
      <c r="P9" s="935">
        <v>0</v>
      </c>
      <c r="Q9" s="935">
        <v>0</v>
      </c>
      <c r="R9" s="935">
        <v>0</v>
      </c>
      <c r="S9" s="935">
        <v>0</v>
      </c>
      <c r="T9" s="935">
        <v>0</v>
      </c>
      <c r="U9" s="935">
        <v>0</v>
      </c>
      <c r="V9" s="935">
        <v>0</v>
      </c>
      <c r="W9" s="905" t="s">
        <v>550</v>
      </c>
      <c r="X9" s="939">
        <f t="shared" si="0"/>
        <v>0</v>
      </c>
      <c r="Y9" s="523">
        <f t="shared" ref="Y9:Y11" si="1">X9</f>
        <v>0</v>
      </c>
      <c r="Z9" s="3" t="s">
        <v>275</v>
      </c>
    </row>
    <row r="10" spans="1:26" s="3" customFormat="1" x14ac:dyDescent="0.2">
      <c r="B10" s="3" t="s">
        <v>277</v>
      </c>
      <c r="C10" s="935">
        <v>250000</v>
      </c>
      <c r="D10" s="935">
        <v>0</v>
      </c>
      <c r="E10" s="935">
        <v>0</v>
      </c>
      <c r="F10" s="935">
        <v>0</v>
      </c>
      <c r="G10" s="935">
        <v>0</v>
      </c>
      <c r="H10" s="935">
        <v>0</v>
      </c>
      <c r="I10" s="935">
        <v>0</v>
      </c>
      <c r="J10" s="935">
        <v>0</v>
      </c>
      <c r="K10" s="935">
        <v>0</v>
      </c>
      <c r="L10" s="935">
        <v>0</v>
      </c>
      <c r="M10" s="935">
        <v>0</v>
      </c>
      <c r="N10" s="935">
        <v>0</v>
      </c>
      <c r="O10" s="935">
        <v>0</v>
      </c>
      <c r="P10" s="935">
        <v>0</v>
      </c>
      <c r="Q10" s="935">
        <v>0</v>
      </c>
      <c r="R10" s="935">
        <v>0</v>
      </c>
      <c r="S10" s="935">
        <v>0</v>
      </c>
      <c r="T10" s="935">
        <v>0</v>
      </c>
      <c r="U10" s="935">
        <v>0</v>
      </c>
      <c r="V10" s="935">
        <v>0</v>
      </c>
      <c r="W10" s="905" t="s">
        <v>277</v>
      </c>
      <c r="X10" s="939">
        <f t="shared" si="0"/>
        <v>250000</v>
      </c>
      <c r="Y10" s="523">
        <f t="shared" si="1"/>
        <v>250000</v>
      </c>
      <c r="Z10" s="3" t="s">
        <v>275</v>
      </c>
    </row>
    <row r="11" spans="1:26" s="3" customFormat="1" hidden="1" x14ac:dyDescent="0.2">
      <c r="B11" s="3" t="s">
        <v>680</v>
      </c>
      <c r="C11" s="935">
        <v>0</v>
      </c>
      <c r="D11" s="935">
        <v>0</v>
      </c>
      <c r="E11" s="935">
        <v>0</v>
      </c>
      <c r="F11" s="935">
        <v>0</v>
      </c>
      <c r="G11" s="935">
        <v>0</v>
      </c>
      <c r="H11" s="935">
        <v>0</v>
      </c>
      <c r="I11" s="935">
        <v>0</v>
      </c>
      <c r="J11" s="935">
        <v>0</v>
      </c>
      <c r="K11" s="935">
        <v>0</v>
      </c>
      <c r="L11" s="935">
        <v>0</v>
      </c>
      <c r="M11" s="935">
        <v>0</v>
      </c>
      <c r="N11" s="935">
        <v>0</v>
      </c>
      <c r="O11" s="935">
        <v>0</v>
      </c>
      <c r="P11" s="935">
        <v>0</v>
      </c>
      <c r="Q11" s="935">
        <v>0</v>
      </c>
      <c r="R11" s="935">
        <v>0</v>
      </c>
      <c r="S11" s="935">
        <v>0</v>
      </c>
      <c r="T11" s="935">
        <v>0</v>
      </c>
      <c r="U11" s="935">
        <v>0</v>
      </c>
      <c r="V11" s="935">
        <v>0</v>
      </c>
      <c r="W11" s="905" t="s">
        <v>680</v>
      </c>
      <c r="X11" s="939">
        <f t="shared" si="0"/>
        <v>0</v>
      </c>
      <c r="Y11" s="523">
        <f t="shared" si="1"/>
        <v>0</v>
      </c>
      <c r="Z11" s="3" t="s">
        <v>275</v>
      </c>
    </row>
    <row r="12" spans="1:26" s="3" customFormat="1" x14ac:dyDescent="0.2">
      <c r="B12" s="3" t="s">
        <v>278</v>
      </c>
      <c r="C12" s="935">
        <v>21315759</v>
      </c>
      <c r="D12" s="935">
        <v>0</v>
      </c>
      <c r="E12" s="935">
        <v>0</v>
      </c>
      <c r="F12" s="935">
        <v>0</v>
      </c>
      <c r="G12" s="935">
        <v>0</v>
      </c>
      <c r="H12" s="935">
        <v>0</v>
      </c>
      <c r="I12" s="935">
        <v>5521322</v>
      </c>
      <c r="J12" s="935">
        <v>0</v>
      </c>
      <c r="K12" s="935">
        <v>0</v>
      </c>
      <c r="L12" s="935">
        <v>0</v>
      </c>
      <c r="M12" s="935">
        <v>0</v>
      </c>
      <c r="N12" s="935">
        <v>0</v>
      </c>
      <c r="O12" s="935">
        <v>0</v>
      </c>
      <c r="P12" s="935">
        <v>0</v>
      </c>
      <c r="Q12" s="935">
        <v>0</v>
      </c>
      <c r="R12" s="935">
        <v>0</v>
      </c>
      <c r="S12" s="935">
        <v>0</v>
      </c>
      <c r="T12" s="935">
        <v>0</v>
      </c>
      <c r="U12" s="935">
        <v>0</v>
      </c>
      <c r="V12" s="935">
        <v>0</v>
      </c>
      <c r="W12" s="905" t="s">
        <v>278</v>
      </c>
      <c r="X12" s="939">
        <f t="shared" si="0"/>
        <v>26837081</v>
      </c>
      <c r="Y12" s="523">
        <f>X12-P12-O12-I12</f>
        <v>21315759</v>
      </c>
      <c r="Z12" s="3" t="s">
        <v>279</v>
      </c>
    </row>
    <row r="13" spans="1:26" s="3" customFormat="1" x14ac:dyDescent="0.2">
      <c r="B13" s="3" t="s">
        <v>338</v>
      </c>
      <c r="C13" s="935">
        <v>0</v>
      </c>
      <c r="D13" s="935">
        <v>0</v>
      </c>
      <c r="E13" s="935">
        <v>0</v>
      </c>
      <c r="F13" s="935">
        <v>0</v>
      </c>
      <c r="G13" s="935">
        <v>0</v>
      </c>
      <c r="H13" s="935">
        <v>490000</v>
      </c>
      <c r="I13" s="935">
        <v>0</v>
      </c>
      <c r="J13" s="935">
        <v>0</v>
      </c>
      <c r="K13" s="935">
        <v>0</v>
      </c>
      <c r="L13" s="935">
        <v>0</v>
      </c>
      <c r="M13" s="935">
        <v>0</v>
      </c>
      <c r="N13" s="935">
        <v>0</v>
      </c>
      <c r="O13" s="935">
        <v>0</v>
      </c>
      <c r="P13" s="935">
        <v>0</v>
      </c>
      <c r="Q13" s="935">
        <v>0</v>
      </c>
      <c r="R13" s="935">
        <v>0</v>
      </c>
      <c r="S13" s="935">
        <v>0</v>
      </c>
      <c r="T13" s="935">
        <v>0</v>
      </c>
      <c r="U13" s="935">
        <v>0</v>
      </c>
      <c r="V13" s="935">
        <v>0</v>
      </c>
      <c r="W13" s="905" t="s">
        <v>338</v>
      </c>
      <c r="X13" s="939">
        <f t="shared" si="0"/>
        <v>490000</v>
      </c>
    </row>
    <row r="14" spans="1:26" s="3" customFormat="1" hidden="1" x14ac:dyDescent="0.2">
      <c r="B14" s="3" t="s">
        <v>281</v>
      </c>
      <c r="C14" s="935">
        <v>0</v>
      </c>
      <c r="D14" s="935">
        <v>0</v>
      </c>
      <c r="E14" s="935">
        <v>0</v>
      </c>
      <c r="F14" s="935">
        <v>0</v>
      </c>
      <c r="G14" s="935">
        <v>0</v>
      </c>
      <c r="H14" s="935">
        <v>0</v>
      </c>
      <c r="I14" s="935">
        <v>0</v>
      </c>
      <c r="J14" s="935">
        <v>0</v>
      </c>
      <c r="K14" s="935">
        <v>0</v>
      </c>
      <c r="L14" s="935">
        <v>0</v>
      </c>
      <c r="M14" s="935">
        <v>0</v>
      </c>
      <c r="N14" s="935">
        <v>0</v>
      </c>
      <c r="O14" s="935">
        <v>0</v>
      </c>
      <c r="P14" s="935">
        <v>0</v>
      </c>
      <c r="Q14" s="935">
        <v>0</v>
      </c>
      <c r="R14" s="935">
        <v>0</v>
      </c>
      <c r="S14" s="935">
        <v>0</v>
      </c>
      <c r="T14" s="935">
        <v>0</v>
      </c>
      <c r="U14" s="935">
        <v>0</v>
      </c>
      <c r="V14" s="935">
        <v>0</v>
      </c>
      <c r="W14" s="905" t="s">
        <v>281</v>
      </c>
      <c r="X14" s="939">
        <f t="shared" si="0"/>
        <v>0</v>
      </c>
    </row>
    <row r="15" spans="1:26" s="3" customFormat="1" hidden="1" x14ac:dyDescent="0.2">
      <c r="B15" s="3" t="s">
        <v>227</v>
      </c>
      <c r="C15" s="935">
        <v>0</v>
      </c>
      <c r="D15" s="935">
        <v>0</v>
      </c>
      <c r="E15" s="935">
        <v>0</v>
      </c>
      <c r="F15" s="935">
        <v>0</v>
      </c>
      <c r="G15" s="935">
        <v>0</v>
      </c>
      <c r="H15" s="935">
        <v>0</v>
      </c>
      <c r="I15" s="935">
        <v>0</v>
      </c>
      <c r="J15" s="935">
        <v>0</v>
      </c>
      <c r="K15" s="935">
        <v>0</v>
      </c>
      <c r="L15" s="935">
        <v>0</v>
      </c>
      <c r="M15" s="935">
        <v>0</v>
      </c>
      <c r="N15" s="935">
        <v>0</v>
      </c>
      <c r="O15" s="935">
        <v>0</v>
      </c>
      <c r="P15" s="935">
        <v>0</v>
      </c>
      <c r="Q15" s="935">
        <v>0</v>
      </c>
      <c r="R15" s="935">
        <v>0</v>
      </c>
      <c r="S15" s="935">
        <v>0</v>
      </c>
      <c r="T15" s="935">
        <v>0</v>
      </c>
      <c r="U15" s="935">
        <v>0</v>
      </c>
      <c r="V15" s="935">
        <v>0</v>
      </c>
      <c r="W15" s="905" t="s">
        <v>227</v>
      </c>
      <c r="X15" s="939">
        <f t="shared" si="0"/>
        <v>0</v>
      </c>
    </row>
    <row r="16" spans="1:26" s="3" customFormat="1" x14ac:dyDescent="0.2">
      <c r="B16" s="3" t="s">
        <v>282</v>
      </c>
      <c r="C16" s="935">
        <v>256000</v>
      </c>
      <c r="D16" s="935">
        <v>0</v>
      </c>
      <c r="E16" s="935">
        <v>0</v>
      </c>
      <c r="F16" s="935">
        <v>0</v>
      </c>
      <c r="G16" s="935">
        <v>0</v>
      </c>
      <c r="H16" s="935">
        <v>0</v>
      </c>
      <c r="I16" s="935">
        <v>0</v>
      </c>
      <c r="J16" s="935">
        <v>0</v>
      </c>
      <c r="K16" s="935">
        <v>0</v>
      </c>
      <c r="L16" s="935">
        <v>0</v>
      </c>
      <c r="M16" s="935">
        <v>0</v>
      </c>
      <c r="N16" s="935">
        <v>0</v>
      </c>
      <c r="O16" s="935">
        <v>0</v>
      </c>
      <c r="P16" s="935">
        <v>0</v>
      </c>
      <c r="Q16" s="935">
        <v>0</v>
      </c>
      <c r="R16" s="935">
        <v>0</v>
      </c>
      <c r="S16" s="935">
        <v>0</v>
      </c>
      <c r="T16" s="935">
        <v>0</v>
      </c>
      <c r="U16" s="935">
        <v>0</v>
      </c>
      <c r="V16" s="935">
        <v>0</v>
      </c>
      <c r="W16" s="905" t="s">
        <v>282</v>
      </c>
      <c r="X16" s="939">
        <f t="shared" si="0"/>
        <v>256000</v>
      </c>
    </row>
    <row r="17" spans="1:24" s="3" customFormat="1" x14ac:dyDescent="0.2">
      <c r="B17" s="3" t="s">
        <v>143</v>
      </c>
      <c r="C17" s="935">
        <v>20000</v>
      </c>
      <c r="D17" s="935">
        <v>0</v>
      </c>
      <c r="E17" s="935">
        <v>0</v>
      </c>
      <c r="F17" s="935">
        <v>0</v>
      </c>
      <c r="G17" s="935">
        <v>0</v>
      </c>
      <c r="H17" s="935">
        <v>0</v>
      </c>
      <c r="I17" s="935">
        <v>0</v>
      </c>
      <c r="J17" s="935">
        <v>0</v>
      </c>
      <c r="K17" s="935">
        <v>0</v>
      </c>
      <c r="L17" s="935">
        <v>0</v>
      </c>
      <c r="M17" s="935">
        <v>0</v>
      </c>
      <c r="N17" s="935">
        <v>0</v>
      </c>
      <c r="O17" s="935">
        <v>0</v>
      </c>
      <c r="P17" s="935">
        <v>0</v>
      </c>
      <c r="Q17" s="935">
        <v>0</v>
      </c>
      <c r="R17" s="935">
        <v>0</v>
      </c>
      <c r="S17" s="935">
        <v>0</v>
      </c>
      <c r="T17" s="935">
        <v>0</v>
      </c>
      <c r="U17" s="935">
        <v>0</v>
      </c>
      <c r="V17" s="935">
        <v>0</v>
      </c>
      <c r="W17" s="905" t="s">
        <v>143</v>
      </c>
      <c r="X17" s="939">
        <f t="shared" si="0"/>
        <v>20000</v>
      </c>
    </row>
    <row r="18" spans="1:24" s="3" customFormat="1" x14ac:dyDescent="0.2">
      <c r="B18" s="3" t="s">
        <v>769</v>
      </c>
      <c r="C18" s="935">
        <v>40000</v>
      </c>
      <c r="D18" s="935">
        <v>0</v>
      </c>
      <c r="E18" s="935">
        <v>0</v>
      </c>
      <c r="F18" s="935">
        <v>0</v>
      </c>
      <c r="G18" s="935">
        <v>0</v>
      </c>
      <c r="H18" s="935">
        <v>0</v>
      </c>
      <c r="I18" s="935">
        <v>0</v>
      </c>
      <c r="J18" s="935">
        <v>0</v>
      </c>
      <c r="K18" s="935">
        <v>0</v>
      </c>
      <c r="L18" s="935">
        <v>0</v>
      </c>
      <c r="M18" s="935">
        <v>0</v>
      </c>
      <c r="N18" s="935">
        <v>0</v>
      </c>
      <c r="O18" s="935">
        <v>0</v>
      </c>
      <c r="P18" s="935">
        <v>0</v>
      </c>
      <c r="Q18" s="935">
        <v>0</v>
      </c>
      <c r="R18" s="935">
        <v>0</v>
      </c>
      <c r="S18" s="935">
        <v>0</v>
      </c>
      <c r="T18" s="935">
        <v>0</v>
      </c>
      <c r="U18" s="935">
        <v>0</v>
      </c>
      <c r="V18" s="935">
        <v>0</v>
      </c>
      <c r="W18" s="905" t="s">
        <v>282</v>
      </c>
      <c r="X18" s="939">
        <f t="shared" si="0"/>
        <v>40000</v>
      </c>
    </row>
    <row r="19" spans="1:24" s="3" customFormat="1" x14ac:dyDescent="0.2">
      <c r="B19" s="3" t="s">
        <v>283</v>
      </c>
      <c r="C19" s="935">
        <v>620000</v>
      </c>
      <c r="D19" s="935">
        <v>0</v>
      </c>
      <c r="E19" s="935">
        <v>0</v>
      </c>
      <c r="F19" s="935">
        <v>0</v>
      </c>
      <c r="G19" s="935">
        <v>0</v>
      </c>
      <c r="H19" s="935">
        <v>0</v>
      </c>
      <c r="I19" s="935">
        <v>0</v>
      </c>
      <c r="J19" s="935">
        <v>0</v>
      </c>
      <c r="K19" s="935">
        <v>0</v>
      </c>
      <c r="L19" s="935">
        <v>0</v>
      </c>
      <c r="M19" s="935">
        <v>0</v>
      </c>
      <c r="N19" s="935">
        <v>0</v>
      </c>
      <c r="O19" s="935">
        <v>0</v>
      </c>
      <c r="P19" s="935">
        <v>0</v>
      </c>
      <c r="Q19" s="935">
        <v>0</v>
      </c>
      <c r="R19" s="935">
        <v>0</v>
      </c>
      <c r="S19" s="935">
        <v>0</v>
      </c>
      <c r="T19" s="935">
        <v>0</v>
      </c>
      <c r="U19" s="935">
        <v>0</v>
      </c>
      <c r="V19" s="935">
        <v>0</v>
      </c>
      <c r="W19" s="905" t="s">
        <v>283</v>
      </c>
      <c r="X19" s="939">
        <f t="shared" si="0"/>
        <v>620000</v>
      </c>
    </row>
    <row r="20" spans="1:24" s="3" customFormat="1" x14ac:dyDescent="0.2">
      <c r="B20" s="3" t="s">
        <v>284</v>
      </c>
      <c r="C20" s="935">
        <v>1000000</v>
      </c>
      <c r="D20" s="935">
        <v>0</v>
      </c>
      <c r="E20" s="935">
        <v>0</v>
      </c>
      <c r="F20" s="935">
        <v>0</v>
      </c>
      <c r="G20" s="935">
        <v>0</v>
      </c>
      <c r="H20" s="935">
        <v>0</v>
      </c>
      <c r="I20" s="935">
        <v>110000</v>
      </c>
      <c r="J20" s="935">
        <v>0</v>
      </c>
      <c r="K20" s="935">
        <v>0</v>
      </c>
      <c r="L20" s="935">
        <v>15267</v>
      </c>
      <c r="M20" s="935">
        <v>0</v>
      </c>
      <c r="N20" s="935">
        <v>0</v>
      </c>
      <c r="O20" s="935">
        <v>1580087</v>
      </c>
      <c r="P20" s="935">
        <v>46309425</v>
      </c>
      <c r="Q20" s="935">
        <v>40000</v>
      </c>
      <c r="R20" s="935">
        <v>381062</v>
      </c>
      <c r="S20" s="935">
        <v>50000</v>
      </c>
      <c r="T20" s="935">
        <v>0</v>
      </c>
      <c r="U20" s="935">
        <v>0</v>
      </c>
      <c r="V20" s="935">
        <v>0</v>
      </c>
      <c r="W20" s="905" t="s">
        <v>284</v>
      </c>
      <c r="X20" s="939">
        <f t="shared" si="0"/>
        <v>49485841</v>
      </c>
    </row>
    <row r="21" spans="1:24" s="3" customFormat="1" hidden="1" x14ac:dyDescent="0.2">
      <c r="B21" s="3" t="s">
        <v>651</v>
      </c>
      <c r="C21" s="935">
        <v>0</v>
      </c>
      <c r="D21" s="935">
        <v>0</v>
      </c>
      <c r="E21" s="935">
        <v>0</v>
      </c>
      <c r="F21" s="935">
        <v>0</v>
      </c>
      <c r="G21" s="935">
        <v>0</v>
      </c>
      <c r="H21" s="935">
        <v>0</v>
      </c>
      <c r="I21" s="935">
        <v>0</v>
      </c>
      <c r="J21" s="935">
        <v>0</v>
      </c>
      <c r="K21" s="935">
        <v>0</v>
      </c>
      <c r="L21" s="935">
        <v>0</v>
      </c>
      <c r="M21" s="935">
        <v>0</v>
      </c>
      <c r="N21" s="935">
        <v>0</v>
      </c>
      <c r="O21" s="935">
        <v>0</v>
      </c>
      <c r="P21" s="935">
        <v>0</v>
      </c>
      <c r="Q21" s="935">
        <v>0</v>
      </c>
      <c r="R21" s="935">
        <v>0</v>
      </c>
      <c r="S21" s="935">
        <v>0</v>
      </c>
      <c r="T21" s="935">
        <v>0</v>
      </c>
      <c r="U21" s="935">
        <v>0</v>
      </c>
      <c r="V21" s="935">
        <v>0</v>
      </c>
      <c r="W21" s="905" t="s">
        <v>651</v>
      </c>
      <c r="X21" s="939">
        <f t="shared" si="0"/>
        <v>0</v>
      </c>
    </row>
    <row r="22" spans="1:24" s="3" customFormat="1" hidden="1" x14ac:dyDescent="0.2">
      <c r="B22" s="3" t="s">
        <v>652</v>
      </c>
      <c r="C22" s="935">
        <v>0</v>
      </c>
      <c r="D22" s="935">
        <v>0</v>
      </c>
      <c r="E22" s="935">
        <v>0</v>
      </c>
      <c r="F22" s="935">
        <v>0</v>
      </c>
      <c r="G22" s="935">
        <v>0</v>
      </c>
      <c r="H22" s="935">
        <v>0</v>
      </c>
      <c r="I22" s="935">
        <v>0</v>
      </c>
      <c r="J22" s="935">
        <v>0</v>
      </c>
      <c r="K22" s="935">
        <v>0</v>
      </c>
      <c r="L22" s="935">
        <v>0</v>
      </c>
      <c r="M22" s="935">
        <v>0</v>
      </c>
      <c r="N22" s="935">
        <v>0</v>
      </c>
      <c r="O22" s="935">
        <v>0</v>
      </c>
      <c r="P22" s="935">
        <v>0</v>
      </c>
      <c r="Q22" s="935">
        <v>0</v>
      </c>
      <c r="R22" s="935">
        <v>0</v>
      </c>
      <c r="S22" s="935">
        <v>0</v>
      </c>
      <c r="T22" s="935">
        <v>0</v>
      </c>
      <c r="U22" s="935">
        <v>0</v>
      </c>
      <c r="V22" s="935">
        <v>0</v>
      </c>
      <c r="W22" s="905" t="s">
        <v>652</v>
      </c>
      <c r="X22" s="939">
        <f t="shared" si="0"/>
        <v>0</v>
      </c>
    </row>
    <row r="23" spans="1:24" s="3" customFormat="1" hidden="1" x14ac:dyDescent="0.2">
      <c r="B23" s="3" t="s">
        <v>653</v>
      </c>
      <c r="C23" s="935">
        <v>0</v>
      </c>
      <c r="D23" s="935">
        <v>0</v>
      </c>
      <c r="E23" s="935">
        <v>0</v>
      </c>
      <c r="F23" s="935">
        <v>0</v>
      </c>
      <c r="G23" s="935">
        <v>0</v>
      </c>
      <c r="H23" s="935">
        <v>0</v>
      </c>
      <c r="I23" s="935">
        <v>0</v>
      </c>
      <c r="J23" s="935">
        <v>0</v>
      </c>
      <c r="K23" s="935">
        <v>0</v>
      </c>
      <c r="L23" s="935">
        <v>0</v>
      </c>
      <c r="M23" s="935">
        <v>0</v>
      </c>
      <c r="N23" s="935">
        <v>0</v>
      </c>
      <c r="O23" s="935">
        <v>0</v>
      </c>
      <c r="P23" s="935">
        <v>0</v>
      </c>
      <c r="Q23" s="935">
        <v>0</v>
      </c>
      <c r="R23" s="935">
        <v>0</v>
      </c>
      <c r="S23" s="935">
        <v>0</v>
      </c>
      <c r="T23" s="935">
        <v>0</v>
      </c>
      <c r="U23" s="935">
        <v>0</v>
      </c>
      <c r="V23" s="935">
        <v>0</v>
      </c>
      <c r="W23" s="905" t="s">
        <v>653</v>
      </c>
      <c r="X23" s="939">
        <f t="shared" si="0"/>
        <v>0</v>
      </c>
    </row>
    <row r="24" spans="1:24" s="3" customFormat="1" hidden="1" x14ac:dyDescent="0.2">
      <c r="B24" s="3" t="s">
        <v>654</v>
      </c>
      <c r="C24" s="935">
        <v>0</v>
      </c>
      <c r="D24" s="935">
        <v>0</v>
      </c>
      <c r="E24" s="935">
        <v>0</v>
      </c>
      <c r="F24" s="935">
        <v>0</v>
      </c>
      <c r="G24" s="935">
        <v>0</v>
      </c>
      <c r="H24" s="935">
        <v>0</v>
      </c>
      <c r="I24" s="935">
        <v>0</v>
      </c>
      <c r="J24" s="935">
        <v>0</v>
      </c>
      <c r="K24" s="935">
        <v>0</v>
      </c>
      <c r="L24" s="935">
        <v>0</v>
      </c>
      <c r="M24" s="935">
        <v>0</v>
      </c>
      <c r="N24" s="935">
        <v>0</v>
      </c>
      <c r="O24" s="935">
        <v>0</v>
      </c>
      <c r="P24" s="935">
        <v>0</v>
      </c>
      <c r="Q24" s="935">
        <v>0</v>
      </c>
      <c r="R24" s="935">
        <v>0</v>
      </c>
      <c r="S24" s="935">
        <v>0</v>
      </c>
      <c r="T24" s="935">
        <v>0</v>
      </c>
      <c r="U24" s="935">
        <v>0</v>
      </c>
      <c r="V24" s="935">
        <v>0</v>
      </c>
      <c r="W24" s="905" t="s">
        <v>654</v>
      </c>
      <c r="X24" s="939">
        <f t="shared" si="0"/>
        <v>0</v>
      </c>
    </row>
    <row r="25" spans="1:24" s="3" customFormat="1" x14ac:dyDescent="0.2">
      <c r="B25" s="3" t="s">
        <v>770</v>
      </c>
      <c r="C25" s="935">
        <v>270000</v>
      </c>
      <c r="D25" s="935">
        <v>0</v>
      </c>
      <c r="E25" s="935">
        <v>0</v>
      </c>
      <c r="F25" s="935">
        <v>0</v>
      </c>
      <c r="G25" s="935">
        <v>0</v>
      </c>
      <c r="H25" s="935">
        <v>0</v>
      </c>
      <c r="I25" s="935">
        <v>0</v>
      </c>
      <c r="J25" s="935">
        <v>0</v>
      </c>
      <c r="K25" s="935">
        <v>0</v>
      </c>
      <c r="L25" s="935">
        <v>0</v>
      </c>
      <c r="M25" s="935">
        <v>0</v>
      </c>
      <c r="N25" s="935">
        <v>0</v>
      </c>
      <c r="O25" s="935">
        <v>0</v>
      </c>
      <c r="P25" s="935">
        <v>0</v>
      </c>
      <c r="Q25" s="935">
        <v>0</v>
      </c>
      <c r="R25" s="935">
        <v>0</v>
      </c>
      <c r="S25" s="935">
        <v>0</v>
      </c>
      <c r="T25" s="935">
        <v>0</v>
      </c>
      <c r="U25" s="935">
        <v>0</v>
      </c>
      <c r="V25" s="935">
        <v>0</v>
      </c>
      <c r="W25" s="905" t="s">
        <v>552</v>
      </c>
      <c r="X25" s="939">
        <f t="shared" si="0"/>
        <v>270000</v>
      </c>
    </row>
    <row r="26" spans="1:24" s="3" customFormat="1" x14ac:dyDescent="0.2">
      <c r="B26" s="3" t="s">
        <v>286</v>
      </c>
      <c r="C26" s="935">
        <v>0</v>
      </c>
      <c r="D26" s="935">
        <v>0</v>
      </c>
      <c r="E26" s="935">
        <v>0</v>
      </c>
      <c r="F26" s="935">
        <v>0</v>
      </c>
      <c r="G26" s="935">
        <v>0</v>
      </c>
      <c r="H26" s="935">
        <v>0</v>
      </c>
      <c r="I26" s="935">
        <v>0</v>
      </c>
      <c r="J26" s="935">
        <v>0</v>
      </c>
      <c r="K26" s="935">
        <v>0</v>
      </c>
      <c r="L26" s="935">
        <v>0</v>
      </c>
      <c r="M26" s="935">
        <v>0</v>
      </c>
      <c r="N26" s="935">
        <v>0</v>
      </c>
      <c r="O26" s="935">
        <v>0</v>
      </c>
      <c r="P26" s="935">
        <v>0</v>
      </c>
      <c r="Q26" s="935">
        <v>0</v>
      </c>
      <c r="R26" s="935">
        <v>0</v>
      </c>
      <c r="S26" s="935">
        <v>0</v>
      </c>
      <c r="T26" s="935">
        <v>6589566</v>
      </c>
      <c r="U26" s="935">
        <v>0</v>
      </c>
      <c r="V26" s="935">
        <v>0</v>
      </c>
      <c r="W26" s="905" t="s">
        <v>286</v>
      </c>
      <c r="X26" s="939">
        <f t="shared" si="0"/>
        <v>6589566</v>
      </c>
    </row>
    <row r="27" spans="1:24" s="3" customFormat="1" x14ac:dyDescent="0.2">
      <c r="A27" s="3">
        <v>1900</v>
      </c>
      <c r="B27" s="3" t="s">
        <v>280</v>
      </c>
      <c r="C27" s="935">
        <v>1600000</v>
      </c>
      <c r="D27" s="935">
        <v>0</v>
      </c>
      <c r="E27" s="935">
        <v>0</v>
      </c>
      <c r="F27" s="935">
        <v>0</v>
      </c>
      <c r="G27" s="935">
        <v>0</v>
      </c>
      <c r="H27" s="935">
        <v>0</v>
      </c>
      <c r="I27" s="935">
        <v>0</v>
      </c>
      <c r="J27" s="935">
        <v>0</v>
      </c>
      <c r="K27" s="935">
        <v>0</v>
      </c>
      <c r="L27" s="935">
        <v>453291</v>
      </c>
      <c r="M27" s="935">
        <v>0</v>
      </c>
      <c r="N27" s="935">
        <v>0</v>
      </c>
      <c r="O27" s="935">
        <v>0</v>
      </c>
      <c r="P27" s="935">
        <v>0</v>
      </c>
      <c r="Q27" s="935">
        <v>2709362</v>
      </c>
      <c r="R27" s="935">
        <v>87659425</v>
      </c>
      <c r="S27" s="935">
        <v>2228593</v>
      </c>
      <c r="T27" s="935">
        <v>0</v>
      </c>
      <c r="U27" s="935">
        <v>3140019</v>
      </c>
      <c r="V27" s="935">
        <v>0</v>
      </c>
      <c r="W27" s="905" t="s">
        <v>280</v>
      </c>
      <c r="X27" s="939">
        <f t="shared" si="0"/>
        <v>97790690</v>
      </c>
    </row>
    <row r="28" spans="1:24" s="3" customFormat="1" x14ac:dyDescent="0.2">
      <c r="B28" s="3" t="s">
        <v>288</v>
      </c>
      <c r="C28" s="935">
        <v>0</v>
      </c>
      <c r="D28" s="935">
        <v>0</v>
      </c>
      <c r="E28" s="935">
        <v>0</v>
      </c>
      <c r="F28" s="935">
        <v>0</v>
      </c>
      <c r="G28" s="935">
        <v>0</v>
      </c>
      <c r="H28" s="935">
        <v>0</v>
      </c>
      <c r="I28" s="935">
        <v>0</v>
      </c>
      <c r="J28" s="935">
        <v>0</v>
      </c>
      <c r="K28" s="935">
        <v>0</v>
      </c>
      <c r="L28" s="935">
        <v>2678715</v>
      </c>
      <c r="M28" s="935">
        <v>0</v>
      </c>
      <c r="N28" s="935">
        <v>0</v>
      </c>
      <c r="O28" s="935">
        <v>0</v>
      </c>
      <c r="P28" s="935">
        <v>0</v>
      </c>
      <c r="Q28" s="935">
        <v>0</v>
      </c>
      <c r="R28" s="935">
        <v>0</v>
      </c>
      <c r="S28" s="935">
        <v>0</v>
      </c>
      <c r="T28" s="935">
        <v>0</v>
      </c>
      <c r="U28" s="935">
        <v>0</v>
      </c>
      <c r="V28" s="935">
        <v>0</v>
      </c>
      <c r="W28" s="905" t="s">
        <v>288</v>
      </c>
      <c r="X28" s="939">
        <f t="shared" si="0"/>
        <v>2678715</v>
      </c>
    </row>
    <row r="29" spans="1:24" s="3" customFormat="1" x14ac:dyDescent="0.2">
      <c r="B29" s="3" t="s">
        <v>287</v>
      </c>
      <c r="C29" s="935">
        <v>0</v>
      </c>
      <c r="D29" s="935">
        <v>135000</v>
      </c>
      <c r="E29" s="935">
        <v>0</v>
      </c>
      <c r="F29" s="935">
        <v>0</v>
      </c>
      <c r="G29" s="935">
        <v>0</v>
      </c>
      <c r="H29" s="935">
        <v>0</v>
      </c>
      <c r="I29" s="935">
        <v>0</v>
      </c>
      <c r="J29" s="935">
        <v>0</v>
      </c>
      <c r="K29" s="935">
        <v>0</v>
      </c>
      <c r="L29" s="935">
        <v>0</v>
      </c>
      <c r="M29" s="935">
        <v>0</v>
      </c>
      <c r="N29" s="935">
        <v>0</v>
      </c>
      <c r="O29" s="935">
        <v>0</v>
      </c>
      <c r="P29" s="935">
        <v>0</v>
      </c>
      <c r="Q29" s="935">
        <v>0</v>
      </c>
      <c r="R29" s="935">
        <v>0</v>
      </c>
      <c r="S29" s="935">
        <v>0</v>
      </c>
      <c r="T29" s="935">
        <v>0</v>
      </c>
      <c r="U29" s="935">
        <v>0</v>
      </c>
      <c r="V29" s="935">
        <v>0</v>
      </c>
      <c r="W29" s="905" t="s">
        <v>287</v>
      </c>
      <c r="X29" s="939">
        <f t="shared" si="0"/>
        <v>135000</v>
      </c>
    </row>
    <row r="30" spans="1:24" s="3" customFormat="1" hidden="1" x14ac:dyDescent="0.2">
      <c r="B30" s="3" t="s">
        <v>598</v>
      </c>
      <c r="C30" s="935">
        <v>0</v>
      </c>
      <c r="D30" s="935">
        <v>0</v>
      </c>
      <c r="E30" s="935">
        <v>0</v>
      </c>
      <c r="F30" s="935">
        <v>0</v>
      </c>
      <c r="G30" s="935">
        <v>0</v>
      </c>
      <c r="H30" s="935">
        <v>0</v>
      </c>
      <c r="I30" s="935">
        <v>0</v>
      </c>
      <c r="J30" s="935">
        <v>0</v>
      </c>
      <c r="K30" s="935">
        <v>0</v>
      </c>
      <c r="L30" s="935">
        <v>0</v>
      </c>
      <c r="M30" s="935">
        <v>0</v>
      </c>
      <c r="N30" s="935">
        <v>0</v>
      </c>
      <c r="O30" s="935">
        <v>0</v>
      </c>
      <c r="P30" s="935">
        <v>0</v>
      </c>
      <c r="Q30" s="935">
        <v>0</v>
      </c>
      <c r="R30" s="935">
        <v>0</v>
      </c>
      <c r="S30" s="935">
        <v>0</v>
      </c>
      <c r="T30" s="935">
        <v>0</v>
      </c>
      <c r="U30" s="935">
        <v>0</v>
      </c>
      <c r="V30" s="935">
        <v>0</v>
      </c>
      <c r="W30" s="905" t="s">
        <v>598</v>
      </c>
      <c r="X30" s="939">
        <f t="shared" si="0"/>
        <v>0</v>
      </c>
    </row>
    <row r="31" spans="1:24" s="3" customFormat="1" x14ac:dyDescent="0.2">
      <c r="B31" s="3" t="s">
        <v>289</v>
      </c>
      <c r="C31" s="935">
        <v>0</v>
      </c>
      <c r="D31" s="935">
        <v>0</v>
      </c>
      <c r="E31" s="935">
        <v>0</v>
      </c>
      <c r="F31" s="935">
        <v>0</v>
      </c>
      <c r="G31" s="935">
        <v>0</v>
      </c>
      <c r="H31" s="935">
        <v>0</v>
      </c>
      <c r="I31" s="935">
        <v>0</v>
      </c>
      <c r="J31" s="935">
        <v>0</v>
      </c>
      <c r="K31" s="935">
        <v>0</v>
      </c>
      <c r="L31" s="935">
        <v>425000</v>
      </c>
      <c r="M31" s="935">
        <v>0</v>
      </c>
      <c r="N31" s="935">
        <v>0</v>
      </c>
      <c r="O31" s="935">
        <v>0</v>
      </c>
      <c r="P31" s="935">
        <v>0</v>
      </c>
      <c r="Q31" s="935">
        <v>0</v>
      </c>
      <c r="R31" s="935">
        <v>0</v>
      </c>
      <c r="S31" s="935">
        <v>0</v>
      </c>
      <c r="T31" s="935">
        <v>0</v>
      </c>
      <c r="U31" s="935">
        <v>0</v>
      </c>
      <c r="V31" s="935">
        <v>0</v>
      </c>
      <c r="W31" s="905" t="s">
        <v>289</v>
      </c>
      <c r="X31" s="939">
        <f t="shared" si="0"/>
        <v>425000</v>
      </c>
    </row>
    <row r="32" spans="1:24" s="3" customFormat="1" x14ac:dyDescent="0.2">
      <c r="B32" s="3" t="s">
        <v>771</v>
      </c>
      <c r="C32" s="935">
        <v>185000</v>
      </c>
      <c r="D32" s="935">
        <v>0</v>
      </c>
      <c r="E32" s="935">
        <v>0</v>
      </c>
      <c r="F32" s="935">
        <v>0</v>
      </c>
      <c r="G32" s="935">
        <v>0</v>
      </c>
      <c r="H32" s="935">
        <v>0</v>
      </c>
      <c r="I32" s="935">
        <v>0</v>
      </c>
      <c r="J32" s="935">
        <v>0</v>
      </c>
      <c r="K32" s="935">
        <v>0</v>
      </c>
      <c r="L32" s="935">
        <v>0</v>
      </c>
      <c r="M32" s="935">
        <v>0</v>
      </c>
      <c r="N32" s="935">
        <v>0</v>
      </c>
      <c r="O32" s="935">
        <v>0</v>
      </c>
      <c r="P32" s="935">
        <v>0</v>
      </c>
      <c r="Q32" s="935">
        <v>0</v>
      </c>
      <c r="R32" s="935">
        <v>0</v>
      </c>
      <c r="S32" s="935">
        <v>0</v>
      </c>
      <c r="T32" s="935">
        <v>0</v>
      </c>
      <c r="U32" s="935">
        <v>0</v>
      </c>
      <c r="V32" s="935">
        <v>0</v>
      </c>
      <c r="W32" s="905" t="s">
        <v>681</v>
      </c>
      <c r="X32" s="939">
        <f t="shared" si="0"/>
        <v>185000</v>
      </c>
    </row>
    <row r="33" spans="2:24" s="3" customFormat="1" x14ac:dyDescent="0.2">
      <c r="B33" s="3" t="s">
        <v>772</v>
      </c>
      <c r="C33" s="935">
        <v>1500000</v>
      </c>
      <c r="D33" s="935">
        <v>0</v>
      </c>
      <c r="E33" s="935">
        <v>0</v>
      </c>
      <c r="F33" s="935">
        <v>0</v>
      </c>
      <c r="G33" s="935">
        <v>0</v>
      </c>
      <c r="H33" s="935">
        <v>0</v>
      </c>
      <c r="I33" s="935">
        <v>0</v>
      </c>
      <c r="J33" s="935">
        <v>0</v>
      </c>
      <c r="K33" s="935">
        <v>0</v>
      </c>
      <c r="L33" s="935">
        <v>0</v>
      </c>
      <c r="M33" s="935">
        <v>0</v>
      </c>
      <c r="N33" s="935">
        <v>0</v>
      </c>
      <c r="O33" s="935">
        <v>0</v>
      </c>
      <c r="P33" s="935">
        <v>0</v>
      </c>
      <c r="Q33" s="935">
        <v>0</v>
      </c>
      <c r="R33" s="935">
        <v>0</v>
      </c>
      <c r="S33" s="935">
        <v>0</v>
      </c>
      <c r="T33" s="935">
        <v>0</v>
      </c>
      <c r="U33" s="935">
        <v>0</v>
      </c>
      <c r="V33" s="935">
        <v>0</v>
      </c>
      <c r="W33" s="905" t="s">
        <v>656</v>
      </c>
      <c r="X33" s="939">
        <f t="shared" si="0"/>
        <v>1500000</v>
      </c>
    </row>
    <row r="34" spans="2:24" x14ac:dyDescent="0.2">
      <c r="B34" s="3" t="s">
        <v>290</v>
      </c>
      <c r="C34" s="935">
        <v>1750000</v>
      </c>
      <c r="D34" s="935">
        <v>0</v>
      </c>
      <c r="E34" s="935">
        <v>0</v>
      </c>
      <c r="F34" s="935">
        <v>0</v>
      </c>
      <c r="G34" s="935">
        <v>0</v>
      </c>
      <c r="H34" s="935">
        <v>0</v>
      </c>
      <c r="I34" s="935">
        <v>0</v>
      </c>
      <c r="J34" s="935">
        <v>0</v>
      </c>
      <c r="K34" s="935">
        <v>0</v>
      </c>
      <c r="L34" s="935">
        <v>0</v>
      </c>
      <c r="M34" s="935">
        <v>0</v>
      </c>
      <c r="N34" s="935">
        <v>0</v>
      </c>
      <c r="O34" s="935">
        <v>0</v>
      </c>
      <c r="P34" s="935">
        <v>0</v>
      </c>
      <c r="Q34" s="935">
        <v>0</v>
      </c>
      <c r="R34" s="935">
        <v>0</v>
      </c>
      <c r="S34" s="935">
        <v>0</v>
      </c>
      <c r="T34" s="935">
        <v>0</v>
      </c>
      <c r="U34" s="935">
        <v>0</v>
      </c>
      <c r="V34" s="935">
        <v>0</v>
      </c>
      <c r="W34" s="905" t="s">
        <v>290</v>
      </c>
      <c r="X34" s="939">
        <f t="shared" si="0"/>
        <v>1750000</v>
      </c>
    </row>
    <row r="35" spans="2:24" hidden="1" x14ac:dyDescent="0.2">
      <c r="C35" s="935"/>
      <c r="D35" s="935"/>
      <c r="E35" s="935"/>
      <c r="F35" s="935"/>
      <c r="G35" s="935"/>
      <c r="H35" s="935"/>
      <c r="I35" s="935"/>
      <c r="J35" s="935"/>
      <c r="K35" s="935"/>
      <c r="L35" s="935"/>
      <c r="M35" s="935"/>
      <c r="N35" s="935"/>
      <c r="O35" s="935"/>
      <c r="P35" s="935"/>
      <c r="Q35" s="935"/>
      <c r="R35" s="935"/>
      <c r="S35" s="935"/>
      <c r="T35" s="935"/>
      <c r="U35" s="935"/>
      <c r="V35" s="935"/>
      <c r="W35" s="905"/>
      <c r="X35" s="905"/>
    </row>
    <row r="36" spans="2:24" s="2" customFormat="1" x14ac:dyDescent="0.2">
      <c r="B36" s="39" t="s">
        <v>124</v>
      </c>
      <c r="C36" s="931">
        <f t="shared" ref="C36:V36" si="2">SUM(C4:C35)</f>
        <v>364225265</v>
      </c>
      <c r="D36" s="931">
        <f t="shared" si="2"/>
        <v>135000</v>
      </c>
      <c r="E36" s="931">
        <f t="shared" si="2"/>
        <v>0</v>
      </c>
      <c r="F36" s="931">
        <f t="shared" si="2"/>
        <v>0</v>
      </c>
      <c r="G36" s="931">
        <f t="shared" si="2"/>
        <v>48138238</v>
      </c>
      <c r="H36" s="931">
        <f t="shared" si="2"/>
        <v>490000</v>
      </c>
      <c r="I36" s="931">
        <f t="shared" si="2"/>
        <v>5631322</v>
      </c>
      <c r="J36" s="931">
        <f t="shared" si="2"/>
        <v>0</v>
      </c>
      <c r="K36" s="931">
        <f t="shared" si="2"/>
        <v>0</v>
      </c>
      <c r="L36" s="931">
        <f t="shared" si="2"/>
        <v>3572273</v>
      </c>
      <c r="M36" s="931">
        <f t="shared" si="2"/>
        <v>0</v>
      </c>
      <c r="N36" s="931">
        <f t="shared" si="2"/>
        <v>0</v>
      </c>
      <c r="O36" s="931">
        <f t="shared" si="2"/>
        <v>63344577</v>
      </c>
      <c r="P36" s="931">
        <f t="shared" si="2"/>
        <v>46309425</v>
      </c>
      <c r="Q36" s="931">
        <f t="shared" si="2"/>
        <v>2749362</v>
      </c>
      <c r="R36" s="931">
        <f t="shared" si="2"/>
        <v>88040487</v>
      </c>
      <c r="S36" s="931">
        <f t="shared" si="2"/>
        <v>2278593</v>
      </c>
      <c r="T36" s="931">
        <f t="shared" si="2"/>
        <v>6589566</v>
      </c>
      <c r="U36" s="931">
        <f t="shared" si="2"/>
        <v>3140019</v>
      </c>
      <c r="V36" s="931">
        <f t="shared" si="2"/>
        <v>0</v>
      </c>
      <c r="W36" s="930">
        <f>SUM(C36:V36)</f>
        <v>634644127</v>
      </c>
      <c r="X36" s="903"/>
    </row>
    <row r="37" spans="2:24" x14ac:dyDescent="0.2">
      <c r="B37" s="550"/>
      <c r="C37" s="935"/>
      <c r="D37" s="935"/>
      <c r="E37" s="935"/>
      <c r="F37" s="935"/>
      <c r="G37" s="935"/>
      <c r="H37" s="935"/>
      <c r="I37" s="935"/>
      <c r="J37" s="935"/>
      <c r="K37" s="935"/>
      <c r="L37" s="935"/>
      <c r="M37" s="935"/>
      <c r="N37" s="935"/>
      <c r="O37" s="935"/>
      <c r="P37" s="935"/>
      <c r="Q37" s="935"/>
      <c r="R37" s="935"/>
      <c r="S37" s="935"/>
      <c r="T37" s="935"/>
      <c r="U37" s="935"/>
      <c r="V37" s="935"/>
      <c r="W37" s="939"/>
      <c r="X37" s="905"/>
    </row>
    <row r="38" spans="2:24" x14ac:dyDescent="0.2">
      <c r="B38" s="3" t="s">
        <v>291</v>
      </c>
      <c r="C38" s="937">
        <v>118886611</v>
      </c>
      <c r="D38" s="937">
        <v>0</v>
      </c>
      <c r="E38" s="937">
        <v>0</v>
      </c>
      <c r="F38" s="937">
        <v>0</v>
      </c>
      <c r="G38" s="937">
        <v>0</v>
      </c>
      <c r="H38" s="937">
        <v>0</v>
      </c>
      <c r="I38" s="937">
        <v>0</v>
      </c>
      <c r="J38" s="937">
        <v>0</v>
      </c>
      <c r="K38" s="937">
        <v>0</v>
      </c>
      <c r="L38" s="937">
        <v>0</v>
      </c>
      <c r="M38" s="937">
        <v>0</v>
      </c>
      <c r="N38" s="937">
        <v>0</v>
      </c>
      <c r="O38" s="937">
        <v>0</v>
      </c>
      <c r="P38" s="937">
        <v>0</v>
      </c>
      <c r="Q38" s="937">
        <v>0</v>
      </c>
      <c r="R38" s="937">
        <v>0</v>
      </c>
      <c r="S38" s="937">
        <v>0</v>
      </c>
      <c r="T38" s="937">
        <v>0</v>
      </c>
      <c r="U38" s="937">
        <v>0</v>
      </c>
      <c r="V38" s="937">
        <v>0</v>
      </c>
      <c r="W38" s="938" t="str">
        <f t="shared" ref="W38:W48" si="3">B38</f>
        <v>Distributive School Fund (DSA)</v>
      </c>
      <c r="X38" s="938">
        <f t="shared" ref="X38:X48" si="4">SUM(C38:V38)</f>
        <v>118886611</v>
      </c>
    </row>
    <row r="39" spans="2:24" x14ac:dyDescent="0.2">
      <c r="B39" s="3" t="s">
        <v>773</v>
      </c>
      <c r="C39" s="937">
        <v>5064335</v>
      </c>
      <c r="D39" s="937">
        <v>0</v>
      </c>
      <c r="E39" s="937">
        <v>0</v>
      </c>
      <c r="F39" s="937">
        <v>0</v>
      </c>
      <c r="G39" s="937">
        <v>0</v>
      </c>
      <c r="H39" s="937">
        <v>0</v>
      </c>
      <c r="I39" s="937">
        <v>0</v>
      </c>
      <c r="J39" s="937">
        <v>0</v>
      </c>
      <c r="K39" s="937">
        <v>0</v>
      </c>
      <c r="L39" s="937">
        <v>0</v>
      </c>
      <c r="M39" s="937">
        <v>0</v>
      </c>
      <c r="N39" s="937">
        <v>0</v>
      </c>
      <c r="O39" s="937">
        <v>0</v>
      </c>
      <c r="P39" s="937">
        <v>0</v>
      </c>
      <c r="Q39" s="937">
        <v>0</v>
      </c>
      <c r="R39" s="937">
        <v>0</v>
      </c>
      <c r="S39" s="937">
        <v>0</v>
      </c>
      <c r="T39" s="937">
        <v>0</v>
      </c>
      <c r="U39" s="937">
        <v>0</v>
      </c>
      <c r="V39" s="937">
        <v>0</v>
      </c>
      <c r="W39" s="938" t="str">
        <f t="shared" si="3"/>
        <v>Special Appropriations</v>
      </c>
      <c r="X39" s="938">
        <f t="shared" si="4"/>
        <v>5064335</v>
      </c>
    </row>
    <row r="40" spans="2:24" hidden="1" x14ac:dyDescent="0.2">
      <c r="B40" s="3" t="s">
        <v>292</v>
      </c>
      <c r="C40" s="937">
        <v>0</v>
      </c>
      <c r="D40" s="937">
        <v>0</v>
      </c>
      <c r="E40" s="937">
        <v>0</v>
      </c>
      <c r="F40" s="937">
        <v>0</v>
      </c>
      <c r="G40" s="937">
        <v>0</v>
      </c>
      <c r="H40" s="937">
        <v>0</v>
      </c>
      <c r="I40" s="937">
        <v>0</v>
      </c>
      <c r="J40" s="937">
        <v>0</v>
      </c>
      <c r="K40" s="937">
        <v>0</v>
      </c>
      <c r="L40" s="937">
        <v>0</v>
      </c>
      <c r="M40" s="937">
        <v>0</v>
      </c>
      <c r="N40" s="937">
        <v>0</v>
      </c>
      <c r="O40" s="937">
        <v>0</v>
      </c>
      <c r="P40" s="937">
        <v>0</v>
      </c>
      <c r="Q40" s="937">
        <v>0</v>
      </c>
      <c r="R40" s="937">
        <v>0</v>
      </c>
      <c r="S40" s="937">
        <v>0</v>
      </c>
      <c r="T40" s="937">
        <v>0</v>
      </c>
      <c r="U40" s="937">
        <v>0</v>
      </c>
      <c r="V40" s="937">
        <v>0</v>
      </c>
      <c r="W40" s="938" t="str">
        <f t="shared" si="3"/>
        <v>DSA Charter Reduction-Outside Revs</v>
      </c>
      <c r="X40" s="938">
        <f t="shared" si="4"/>
        <v>0</v>
      </c>
    </row>
    <row r="41" spans="2:24" x14ac:dyDescent="0.2">
      <c r="B41" s="3" t="s">
        <v>293</v>
      </c>
      <c r="C41" s="937">
        <v>0</v>
      </c>
      <c r="D41" s="937">
        <v>0</v>
      </c>
      <c r="E41" s="937">
        <v>0</v>
      </c>
      <c r="F41" s="937">
        <v>0</v>
      </c>
      <c r="G41" s="937">
        <v>0</v>
      </c>
      <c r="H41" s="937">
        <v>0</v>
      </c>
      <c r="I41" s="937">
        <v>0</v>
      </c>
      <c r="J41" s="937">
        <v>0</v>
      </c>
      <c r="K41" s="937">
        <v>0</v>
      </c>
      <c r="L41" s="937">
        <v>0</v>
      </c>
      <c r="M41" s="937">
        <v>32581658</v>
      </c>
      <c r="N41" s="937">
        <v>0</v>
      </c>
      <c r="O41" s="937">
        <v>0</v>
      </c>
      <c r="P41" s="937">
        <v>0</v>
      </c>
      <c r="Q41" s="937">
        <v>0</v>
      </c>
      <c r="R41" s="937">
        <v>0</v>
      </c>
      <c r="S41" s="937">
        <v>0</v>
      </c>
      <c r="T41" s="937">
        <v>0</v>
      </c>
      <c r="U41" s="937">
        <v>0</v>
      </c>
      <c r="V41" s="937">
        <v>0</v>
      </c>
      <c r="W41" s="938" t="str">
        <f t="shared" si="3"/>
        <v>Special Education - DSA Funding</v>
      </c>
      <c r="X41" s="938">
        <f t="shared" si="4"/>
        <v>32581658</v>
      </c>
    </row>
    <row r="42" spans="2:24" hidden="1" x14ac:dyDescent="0.2">
      <c r="B42" s="3" t="s">
        <v>475</v>
      </c>
      <c r="C42" s="937">
        <v>0</v>
      </c>
      <c r="D42" s="937">
        <v>0</v>
      </c>
      <c r="E42" s="937">
        <v>0</v>
      </c>
      <c r="F42" s="937">
        <v>0</v>
      </c>
      <c r="G42" s="937">
        <v>0</v>
      </c>
      <c r="H42" s="937">
        <v>0</v>
      </c>
      <c r="I42" s="937">
        <v>0</v>
      </c>
      <c r="J42" s="937">
        <v>0</v>
      </c>
      <c r="K42" s="937">
        <v>0</v>
      </c>
      <c r="L42" s="937">
        <v>0</v>
      </c>
      <c r="M42" s="937">
        <v>0</v>
      </c>
      <c r="N42" s="937">
        <v>0</v>
      </c>
      <c r="O42" s="937">
        <v>0</v>
      </c>
      <c r="P42" s="937">
        <v>0</v>
      </c>
      <c r="Q42" s="937">
        <v>0</v>
      </c>
      <c r="R42" s="937">
        <v>0</v>
      </c>
      <c r="S42" s="937">
        <v>0</v>
      </c>
      <c r="T42" s="937">
        <v>0</v>
      </c>
      <c r="U42" s="937">
        <v>0</v>
      </c>
      <c r="V42" s="937">
        <v>0</v>
      </c>
      <c r="W42" s="938" t="str">
        <f t="shared" si="3"/>
        <v>Counseling - DSA Funding</v>
      </c>
      <c r="X42" s="938">
        <f t="shared" si="4"/>
        <v>0</v>
      </c>
    </row>
    <row r="43" spans="2:24" hidden="1" x14ac:dyDescent="0.2">
      <c r="B43" s="3" t="s">
        <v>294</v>
      </c>
      <c r="C43" s="937">
        <v>0</v>
      </c>
      <c r="D43" s="937">
        <v>0</v>
      </c>
      <c r="E43" s="937">
        <v>0</v>
      </c>
      <c r="F43" s="937">
        <v>0</v>
      </c>
      <c r="G43" s="937">
        <v>0</v>
      </c>
      <c r="H43" s="937">
        <v>0</v>
      </c>
      <c r="I43" s="937">
        <v>0</v>
      </c>
      <c r="J43" s="937">
        <v>0</v>
      </c>
      <c r="K43" s="937">
        <v>0</v>
      </c>
      <c r="L43" s="937">
        <v>0</v>
      </c>
      <c r="M43" s="937">
        <v>0</v>
      </c>
      <c r="N43" s="937">
        <v>0</v>
      </c>
      <c r="O43" s="937">
        <v>0</v>
      </c>
      <c r="P43" s="937">
        <v>0</v>
      </c>
      <c r="Q43" s="937">
        <v>0</v>
      </c>
      <c r="R43" s="937">
        <v>0</v>
      </c>
      <c r="S43" s="937">
        <v>0</v>
      </c>
      <c r="T43" s="937">
        <v>0</v>
      </c>
      <c r="U43" s="937">
        <v>0</v>
      </c>
      <c r="V43" s="937">
        <v>0</v>
      </c>
      <c r="W43" s="938" t="str">
        <f t="shared" si="3"/>
        <v>State Food Aid</v>
      </c>
      <c r="X43" s="938">
        <f t="shared" si="4"/>
        <v>0</v>
      </c>
    </row>
    <row r="44" spans="2:24" x14ac:dyDescent="0.2">
      <c r="B44" s="3" t="s">
        <v>295</v>
      </c>
      <c r="C44" s="937">
        <v>0</v>
      </c>
      <c r="D44" s="937">
        <v>0</v>
      </c>
      <c r="E44" s="937">
        <v>0</v>
      </c>
      <c r="F44" s="937">
        <v>0</v>
      </c>
      <c r="G44" s="937">
        <v>0</v>
      </c>
      <c r="H44" s="937">
        <v>0</v>
      </c>
      <c r="I44" s="937">
        <v>0</v>
      </c>
      <c r="J44" s="937">
        <v>0</v>
      </c>
      <c r="K44" s="937">
        <v>0</v>
      </c>
      <c r="L44" s="937">
        <v>29545364</v>
      </c>
      <c r="M44" s="937">
        <v>0</v>
      </c>
      <c r="N44" s="937">
        <v>0</v>
      </c>
      <c r="O44" s="937">
        <v>0</v>
      </c>
      <c r="P44" s="937">
        <v>0</v>
      </c>
      <c r="Q44" s="937">
        <v>0</v>
      </c>
      <c r="R44" s="937">
        <v>0</v>
      </c>
      <c r="S44" s="937">
        <v>0</v>
      </c>
      <c r="T44" s="937">
        <v>68500</v>
      </c>
      <c r="U44" s="937">
        <v>0</v>
      </c>
      <c r="V44" s="937">
        <v>0</v>
      </c>
      <c r="W44" s="938" t="str">
        <f t="shared" si="3"/>
        <v>Restricted Funding/Grants-in-aid rev</v>
      </c>
      <c r="X44" s="938">
        <f t="shared" si="4"/>
        <v>29613864</v>
      </c>
    </row>
    <row r="45" spans="2:24" x14ac:dyDescent="0.2">
      <c r="B45" s="3" t="s">
        <v>682</v>
      </c>
      <c r="C45" s="937">
        <v>0</v>
      </c>
      <c r="D45" s="937">
        <v>0</v>
      </c>
      <c r="E45" s="937">
        <v>0</v>
      </c>
      <c r="F45" s="937">
        <v>0</v>
      </c>
      <c r="G45" s="937">
        <v>0</v>
      </c>
      <c r="H45" s="937">
        <v>0</v>
      </c>
      <c r="I45" s="937">
        <v>0</v>
      </c>
      <c r="J45" s="937">
        <v>0</v>
      </c>
      <c r="K45" s="937">
        <v>0</v>
      </c>
      <c r="L45" s="937">
        <v>1508529</v>
      </c>
      <c r="M45" s="937">
        <v>0</v>
      </c>
      <c r="N45" s="937">
        <v>0</v>
      </c>
      <c r="O45" s="937">
        <v>0</v>
      </c>
      <c r="P45" s="937">
        <v>0</v>
      </c>
      <c r="Q45" s="937">
        <v>0</v>
      </c>
      <c r="R45" s="937">
        <v>0</v>
      </c>
      <c r="S45" s="937">
        <v>0</v>
      </c>
      <c r="T45" s="937">
        <v>0</v>
      </c>
      <c r="U45" s="937">
        <v>0</v>
      </c>
      <c r="V45" s="937">
        <v>0</v>
      </c>
      <c r="W45" s="938" t="str">
        <f t="shared" si="3"/>
        <v xml:space="preserve">Adult High School Diploma </v>
      </c>
      <c r="X45" s="938">
        <f t="shared" si="4"/>
        <v>1508529</v>
      </c>
    </row>
    <row r="46" spans="2:24" hidden="1" x14ac:dyDescent="0.2">
      <c r="B46" s="3" t="s">
        <v>553</v>
      </c>
      <c r="C46" s="937">
        <v>0</v>
      </c>
      <c r="D46" s="937">
        <v>0</v>
      </c>
      <c r="E46" s="937">
        <v>0</v>
      </c>
      <c r="F46" s="937">
        <v>0</v>
      </c>
      <c r="G46" s="937">
        <v>0</v>
      </c>
      <c r="H46" s="937">
        <v>0</v>
      </c>
      <c r="I46" s="937">
        <v>0</v>
      </c>
      <c r="J46" s="937">
        <v>0</v>
      </c>
      <c r="K46" s="937">
        <v>0</v>
      </c>
      <c r="L46" s="937">
        <v>0</v>
      </c>
      <c r="M46" s="937">
        <v>0</v>
      </c>
      <c r="N46" s="937">
        <v>0</v>
      </c>
      <c r="O46" s="937">
        <v>0</v>
      </c>
      <c r="P46" s="937">
        <v>0</v>
      </c>
      <c r="Q46" s="937">
        <v>0</v>
      </c>
      <c r="R46" s="937">
        <v>0</v>
      </c>
      <c r="S46" s="937">
        <v>0</v>
      </c>
      <c r="T46" s="937">
        <v>0</v>
      </c>
      <c r="U46" s="937">
        <v>0</v>
      </c>
      <c r="V46" s="937">
        <v>0</v>
      </c>
      <c r="W46" s="938" t="str">
        <f t="shared" si="3"/>
        <v>SB 178 NV Education Fund Plan</v>
      </c>
      <c r="X46" s="938">
        <f t="shared" si="4"/>
        <v>0</v>
      </c>
    </row>
    <row r="47" spans="2:24" x14ac:dyDescent="0.2">
      <c r="B47" s="3" t="s">
        <v>191</v>
      </c>
      <c r="C47" s="937">
        <v>0</v>
      </c>
      <c r="D47" s="937">
        <v>0</v>
      </c>
      <c r="E47" s="937">
        <v>0</v>
      </c>
      <c r="F47" s="937">
        <v>0</v>
      </c>
      <c r="G47" s="937">
        <v>0</v>
      </c>
      <c r="H47" s="937">
        <v>0</v>
      </c>
      <c r="I47" s="937">
        <v>0</v>
      </c>
      <c r="J47" s="937">
        <v>0</v>
      </c>
      <c r="K47" s="937">
        <v>0</v>
      </c>
      <c r="L47" s="937">
        <v>0</v>
      </c>
      <c r="M47" s="937">
        <v>0</v>
      </c>
      <c r="N47" s="937">
        <v>19067925</v>
      </c>
      <c r="O47" s="937">
        <v>0</v>
      </c>
      <c r="P47" s="937">
        <v>0</v>
      </c>
      <c r="Q47" s="937">
        <v>0</v>
      </c>
      <c r="R47" s="937">
        <v>0</v>
      </c>
      <c r="S47" s="937">
        <v>0</v>
      </c>
      <c r="T47" s="937">
        <v>0</v>
      </c>
      <c r="U47" s="937">
        <v>0</v>
      </c>
      <c r="V47" s="937">
        <v>0</v>
      </c>
      <c r="W47" s="938" t="str">
        <f t="shared" si="3"/>
        <v>Class Size Reduction</v>
      </c>
      <c r="X47" s="938">
        <f t="shared" si="4"/>
        <v>19067925</v>
      </c>
    </row>
    <row r="48" spans="2:24" hidden="1" x14ac:dyDescent="0.2">
      <c r="B48" s="3" t="s">
        <v>386</v>
      </c>
      <c r="C48" s="937">
        <v>0</v>
      </c>
      <c r="D48" s="937">
        <v>0</v>
      </c>
      <c r="E48" s="937">
        <v>0</v>
      </c>
      <c r="F48" s="937">
        <v>0</v>
      </c>
      <c r="G48" s="937">
        <v>0</v>
      </c>
      <c r="H48" s="937">
        <v>0</v>
      </c>
      <c r="I48" s="937">
        <v>0</v>
      </c>
      <c r="J48" s="937">
        <v>0</v>
      </c>
      <c r="K48" s="937">
        <v>0</v>
      </c>
      <c r="L48" s="937">
        <v>0</v>
      </c>
      <c r="M48" s="937">
        <v>0</v>
      </c>
      <c r="N48" s="937">
        <v>0</v>
      </c>
      <c r="O48" s="937">
        <v>0</v>
      </c>
      <c r="P48" s="937">
        <v>0</v>
      </c>
      <c r="Q48" s="937">
        <v>0</v>
      </c>
      <c r="R48" s="937">
        <v>0</v>
      </c>
      <c r="S48" s="937">
        <v>0</v>
      </c>
      <c r="T48" s="937">
        <v>0</v>
      </c>
      <c r="U48" s="937">
        <v>0</v>
      </c>
      <c r="V48" s="937">
        <v>0</v>
      </c>
      <c r="W48" s="938" t="str">
        <f t="shared" si="3"/>
        <v>For/on behalf of School District</v>
      </c>
      <c r="X48" s="938">
        <f t="shared" si="4"/>
        <v>0</v>
      </c>
    </row>
    <row r="49" spans="1:24" hidden="1" x14ac:dyDescent="0.2">
      <c r="C49" s="935"/>
      <c r="D49" s="935"/>
      <c r="E49" s="935"/>
      <c r="F49" s="935"/>
      <c r="G49" s="935"/>
      <c r="H49" s="935"/>
      <c r="I49" s="935"/>
      <c r="J49" s="935"/>
      <c r="K49" s="935"/>
      <c r="L49" s="935"/>
      <c r="M49" s="935"/>
      <c r="N49" s="935"/>
      <c r="O49" s="935"/>
      <c r="P49" s="935"/>
      <c r="Q49" s="935"/>
      <c r="R49" s="935"/>
      <c r="S49" s="935"/>
      <c r="T49" s="935"/>
      <c r="U49" s="935"/>
      <c r="V49" s="935"/>
      <c r="W49" s="939"/>
      <c r="X49" s="905"/>
    </row>
    <row r="50" spans="1:24" s="2" customFormat="1" x14ac:dyDescent="0.2">
      <c r="B50" s="39" t="s">
        <v>125</v>
      </c>
      <c r="C50" s="931">
        <f t="shared" ref="C50:V50" si="5">SUM(C37:C49)</f>
        <v>123950946</v>
      </c>
      <c r="D50" s="931">
        <f t="shared" si="5"/>
        <v>0</v>
      </c>
      <c r="E50" s="931">
        <f t="shared" si="5"/>
        <v>0</v>
      </c>
      <c r="F50" s="931">
        <f t="shared" si="5"/>
        <v>0</v>
      </c>
      <c r="G50" s="931">
        <f t="shared" si="5"/>
        <v>0</v>
      </c>
      <c r="H50" s="931">
        <f t="shared" si="5"/>
        <v>0</v>
      </c>
      <c r="I50" s="931">
        <f t="shared" si="5"/>
        <v>0</v>
      </c>
      <c r="J50" s="931">
        <f t="shared" si="5"/>
        <v>0</v>
      </c>
      <c r="K50" s="931">
        <f t="shared" si="5"/>
        <v>0</v>
      </c>
      <c r="L50" s="931">
        <f t="shared" si="5"/>
        <v>31053893</v>
      </c>
      <c r="M50" s="931">
        <f t="shared" si="5"/>
        <v>32581658</v>
      </c>
      <c r="N50" s="931">
        <f t="shared" si="5"/>
        <v>19067925</v>
      </c>
      <c r="O50" s="931">
        <f t="shared" si="5"/>
        <v>0</v>
      </c>
      <c r="P50" s="931">
        <f t="shared" si="5"/>
        <v>0</v>
      </c>
      <c r="Q50" s="931">
        <f t="shared" si="5"/>
        <v>0</v>
      </c>
      <c r="R50" s="931">
        <f t="shared" si="5"/>
        <v>0</v>
      </c>
      <c r="S50" s="931">
        <f t="shared" si="5"/>
        <v>0</v>
      </c>
      <c r="T50" s="931">
        <f t="shared" si="5"/>
        <v>68500</v>
      </c>
      <c r="U50" s="931">
        <f t="shared" si="5"/>
        <v>0</v>
      </c>
      <c r="V50" s="931">
        <f t="shared" si="5"/>
        <v>0</v>
      </c>
      <c r="W50" s="930">
        <f>SUM(C50:V50)</f>
        <v>206722922</v>
      </c>
      <c r="X50" s="903"/>
    </row>
    <row r="51" spans="1:24" x14ac:dyDescent="0.2">
      <c r="B51" s="550"/>
      <c r="C51" s="935"/>
      <c r="D51" s="935"/>
      <c r="E51" s="935"/>
      <c r="F51" s="935"/>
      <c r="G51" s="935"/>
      <c r="H51" s="935"/>
      <c r="I51" s="935"/>
      <c r="J51" s="935"/>
      <c r="K51" s="935"/>
      <c r="L51" s="935"/>
      <c r="M51" s="935"/>
      <c r="N51" s="935"/>
      <c r="O51" s="935"/>
      <c r="P51" s="935"/>
      <c r="Q51" s="935"/>
      <c r="R51" s="935"/>
      <c r="S51" s="935"/>
      <c r="T51" s="935"/>
      <c r="U51" s="935"/>
      <c r="V51" s="935"/>
      <c r="W51" s="939"/>
      <c r="X51" s="905"/>
    </row>
    <row r="52" spans="1:24" s="37" customFormat="1" hidden="1" x14ac:dyDescent="0.2">
      <c r="A52" s="2"/>
      <c r="B52" s="3" t="s">
        <v>658</v>
      </c>
      <c r="C52" s="937">
        <v>0</v>
      </c>
      <c r="D52" s="937">
        <v>0</v>
      </c>
      <c r="E52" s="937">
        <v>0</v>
      </c>
      <c r="F52" s="937">
        <v>0</v>
      </c>
      <c r="G52" s="937">
        <v>0</v>
      </c>
      <c r="H52" s="937">
        <v>0</v>
      </c>
      <c r="I52" s="937">
        <v>0</v>
      </c>
      <c r="J52" s="937">
        <v>0</v>
      </c>
      <c r="K52" s="937">
        <v>0</v>
      </c>
      <c r="L52" s="937">
        <v>0</v>
      </c>
      <c r="M52" s="937">
        <v>0</v>
      </c>
      <c r="N52" s="937">
        <v>0</v>
      </c>
      <c r="O52" s="937">
        <v>0</v>
      </c>
      <c r="P52" s="937">
        <v>0</v>
      </c>
      <c r="Q52" s="937">
        <v>0</v>
      </c>
      <c r="R52" s="937">
        <v>0</v>
      </c>
      <c r="S52" s="937">
        <v>0</v>
      </c>
      <c r="T52" s="937">
        <v>0</v>
      </c>
      <c r="U52" s="937">
        <v>0</v>
      </c>
      <c r="V52" s="937">
        <v>0</v>
      </c>
      <c r="W52" s="938" t="str">
        <f t="shared" ref="W52:W63" si="6">B52</f>
        <v>Federal Lunch Reimbursement</v>
      </c>
      <c r="X52" s="938">
        <f t="shared" ref="X52:X63" si="7">SUM(C52:V52)</f>
        <v>0</v>
      </c>
    </row>
    <row r="53" spans="1:24" s="37" customFormat="1" x14ac:dyDescent="0.2">
      <c r="A53" s="2"/>
      <c r="B53" s="3" t="s">
        <v>659</v>
      </c>
      <c r="C53" s="937">
        <v>25000</v>
      </c>
      <c r="D53" s="937">
        <v>0</v>
      </c>
      <c r="E53" s="937">
        <v>0</v>
      </c>
      <c r="F53" s="937">
        <v>0</v>
      </c>
      <c r="G53" s="937">
        <v>0</v>
      </c>
      <c r="H53" s="937">
        <v>0</v>
      </c>
      <c r="I53" s="937">
        <v>0</v>
      </c>
      <c r="J53" s="937">
        <v>0</v>
      </c>
      <c r="K53" s="937">
        <v>0</v>
      </c>
      <c r="L53" s="937">
        <v>0</v>
      </c>
      <c r="M53" s="937">
        <v>0</v>
      </c>
      <c r="N53" s="937">
        <v>0</v>
      </c>
      <c r="O53" s="937">
        <v>0</v>
      </c>
      <c r="P53" s="937">
        <v>0</v>
      </c>
      <c r="Q53" s="937">
        <v>0</v>
      </c>
      <c r="R53" s="937">
        <v>0</v>
      </c>
      <c r="S53" s="937">
        <v>0</v>
      </c>
      <c r="T53" s="937">
        <v>0</v>
      </c>
      <c r="U53" s="937">
        <v>0</v>
      </c>
      <c r="V53" s="937">
        <v>0</v>
      </c>
      <c r="W53" s="938" t="str">
        <f t="shared" si="6"/>
        <v>Forest Reserve</v>
      </c>
      <c r="X53" s="938">
        <f t="shared" si="7"/>
        <v>25000</v>
      </c>
    </row>
    <row r="54" spans="1:24" s="37" customFormat="1" x14ac:dyDescent="0.2">
      <c r="A54" s="2"/>
      <c r="B54" s="3" t="s">
        <v>660</v>
      </c>
      <c r="C54" s="937">
        <v>300000</v>
      </c>
      <c r="D54" s="937">
        <v>0</v>
      </c>
      <c r="E54" s="937">
        <v>0</v>
      </c>
      <c r="F54" s="937">
        <v>0</v>
      </c>
      <c r="G54" s="937">
        <v>0</v>
      </c>
      <c r="H54" s="937">
        <v>0</v>
      </c>
      <c r="I54" s="937">
        <v>0</v>
      </c>
      <c r="J54" s="937">
        <v>0</v>
      </c>
      <c r="K54" s="937">
        <v>0</v>
      </c>
      <c r="L54" s="937">
        <v>0</v>
      </c>
      <c r="M54" s="937">
        <v>0</v>
      </c>
      <c r="N54" s="937">
        <v>0</v>
      </c>
      <c r="O54" s="937">
        <v>0</v>
      </c>
      <c r="P54" s="937">
        <v>0</v>
      </c>
      <c r="Q54" s="937">
        <v>0</v>
      </c>
      <c r="R54" s="937">
        <v>0</v>
      </c>
      <c r="S54" s="937">
        <v>0</v>
      </c>
      <c r="T54" s="937">
        <v>0</v>
      </c>
      <c r="U54" s="937">
        <v>0</v>
      </c>
      <c r="V54" s="937">
        <v>0</v>
      </c>
      <c r="W54" s="938" t="str">
        <f t="shared" si="6"/>
        <v>Erate Funds</v>
      </c>
      <c r="X54" s="938">
        <f t="shared" si="7"/>
        <v>300000</v>
      </c>
    </row>
    <row r="55" spans="1:24" s="37" customFormat="1" x14ac:dyDescent="0.2">
      <c r="A55" s="2"/>
      <c r="B55" s="3" t="s">
        <v>774</v>
      </c>
      <c r="C55" s="937">
        <v>165000</v>
      </c>
      <c r="D55" s="937">
        <v>0</v>
      </c>
      <c r="E55" s="937">
        <v>0</v>
      </c>
      <c r="F55" s="937">
        <v>0</v>
      </c>
      <c r="G55" s="937">
        <v>0</v>
      </c>
      <c r="H55" s="937">
        <v>0</v>
      </c>
      <c r="I55" s="937">
        <v>0</v>
      </c>
      <c r="J55" s="937">
        <v>0</v>
      </c>
      <c r="K55" s="937">
        <v>0</v>
      </c>
      <c r="L55" s="937">
        <v>0</v>
      </c>
      <c r="M55" s="937">
        <v>0</v>
      </c>
      <c r="N55" s="937">
        <v>0</v>
      </c>
      <c r="O55" s="937">
        <v>0</v>
      </c>
      <c r="P55" s="937">
        <v>0</v>
      </c>
      <c r="Q55" s="937">
        <v>0</v>
      </c>
      <c r="R55" s="937">
        <v>0</v>
      </c>
      <c r="S55" s="937">
        <v>0</v>
      </c>
      <c r="T55" s="937">
        <v>0</v>
      </c>
      <c r="U55" s="937">
        <v>0</v>
      </c>
      <c r="V55" s="937">
        <v>0</v>
      </c>
      <c r="W55" s="938" t="str">
        <f t="shared" si="6"/>
        <v>P.L. 81-874</v>
      </c>
      <c r="X55" s="938">
        <f t="shared" si="7"/>
        <v>165000</v>
      </c>
    </row>
    <row r="56" spans="1:24" s="37" customFormat="1" hidden="1" x14ac:dyDescent="0.2">
      <c r="A56" s="2"/>
      <c r="B56" s="3" t="s">
        <v>683</v>
      </c>
      <c r="C56" s="937">
        <v>0</v>
      </c>
      <c r="D56" s="937">
        <v>0</v>
      </c>
      <c r="E56" s="937">
        <v>0</v>
      </c>
      <c r="F56" s="937">
        <v>0</v>
      </c>
      <c r="G56" s="937">
        <v>0</v>
      </c>
      <c r="H56" s="937">
        <v>0</v>
      </c>
      <c r="I56" s="937">
        <v>0</v>
      </c>
      <c r="J56" s="937">
        <v>0</v>
      </c>
      <c r="K56" s="937">
        <v>0</v>
      </c>
      <c r="L56" s="937">
        <v>0</v>
      </c>
      <c r="M56" s="937">
        <v>0</v>
      </c>
      <c r="N56" s="937">
        <v>0</v>
      </c>
      <c r="O56" s="937">
        <v>0</v>
      </c>
      <c r="P56" s="937">
        <v>0</v>
      </c>
      <c r="Q56" s="937">
        <v>0</v>
      </c>
      <c r="R56" s="937">
        <v>0</v>
      </c>
      <c r="S56" s="937">
        <v>0</v>
      </c>
      <c r="T56" s="937">
        <v>0</v>
      </c>
      <c r="U56" s="937">
        <v>0</v>
      </c>
      <c r="V56" s="937">
        <v>0</v>
      </c>
      <c r="W56" s="938" t="str">
        <f t="shared" si="6"/>
        <v>Medicaid Reimbursement</v>
      </c>
      <c r="X56" s="938">
        <f t="shared" si="7"/>
        <v>0</v>
      </c>
    </row>
    <row r="57" spans="1:24" s="37" customFormat="1" hidden="1" x14ac:dyDescent="0.2">
      <c r="A57" s="2"/>
      <c r="B57" s="3" t="s">
        <v>390</v>
      </c>
      <c r="C57" s="937">
        <v>0</v>
      </c>
      <c r="D57" s="937">
        <v>0</v>
      </c>
      <c r="E57" s="937">
        <v>0</v>
      </c>
      <c r="F57" s="937">
        <v>0</v>
      </c>
      <c r="G57" s="937">
        <v>0</v>
      </c>
      <c r="H57" s="937">
        <v>0</v>
      </c>
      <c r="I57" s="937">
        <v>0</v>
      </c>
      <c r="J57" s="937">
        <v>0</v>
      </c>
      <c r="K57" s="937">
        <v>0</v>
      </c>
      <c r="L57" s="937">
        <v>0</v>
      </c>
      <c r="M57" s="937">
        <v>0</v>
      </c>
      <c r="N57" s="937">
        <v>0</v>
      </c>
      <c r="O57" s="937">
        <v>0</v>
      </c>
      <c r="P57" s="937">
        <v>0</v>
      </c>
      <c r="Q57" s="937">
        <v>0</v>
      </c>
      <c r="R57" s="937">
        <v>0</v>
      </c>
      <c r="S57" s="937">
        <v>0</v>
      </c>
      <c r="T57" s="937">
        <v>0</v>
      </c>
      <c r="U57" s="937">
        <v>0</v>
      </c>
      <c r="V57" s="937">
        <v>0</v>
      </c>
      <c r="W57" s="938" t="str">
        <f t="shared" si="6"/>
        <v>Unrestricted - Direct Fed Gov't</v>
      </c>
      <c r="X57" s="938">
        <f t="shared" si="7"/>
        <v>0</v>
      </c>
    </row>
    <row r="58" spans="1:24" s="37" customFormat="1" hidden="1" x14ac:dyDescent="0.2">
      <c r="A58" s="2"/>
      <c r="B58" s="3" t="s">
        <v>617</v>
      </c>
      <c r="C58" s="937">
        <v>0</v>
      </c>
      <c r="D58" s="937">
        <v>0</v>
      </c>
      <c r="E58" s="937">
        <v>0</v>
      </c>
      <c r="F58" s="937">
        <v>0</v>
      </c>
      <c r="G58" s="937">
        <v>0</v>
      </c>
      <c r="H58" s="937">
        <v>0</v>
      </c>
      <c r="I58" s="937">
        <v>0</v>
      </c>
      <c r="J58" s="937">
        <v>0</v>
      </c>
      <c r="K58" s="937">
        <v>0</v>
      </c>
      <c r="L58" s="937">
        <v>0</v>
      </c>
      <c r="M58" s="937">
        <v>0</v>
      </c>
      <c r="N58" s="937">
        <v>0</v>
      </c>
      <c r="O58" s="937">
        <v>0</v>
      </c>
      <c r="P58" s="937">
        <v>0</v>
      </c>
      <c r="Q58" s="937">
        <v>0</v>
      </c>
      <c r="R58" s="937">
        <v>0</v>
      </c>
      <c r="S58" s="937">
        <v>0</v>
      </c>
      <c r="T58" s="937">
        <v>0</v>
      </c>
      <c r="U58" s="937">
        <v>0</v>
      </c>
      <c r="V58" s="937">
        <v>0</v>
      </c>
      <c r="W58" s="938" t="str">
        <f t="shared" si="6"/>
        <v>Unrestricted - State Agency</v>
      </c>
      <c r="X58" s="938">
        <f t="shared" si="7"/>
        <v>0</v>
      </c>
    </row>
    <row r="59" spans="1:24" s="37" customFormat="1" x14ac:dyDescent="0.2">
      <c r="A59" s="2"/>
      <c r="B59" s="3" t="s">
        <v>299</v>
      </c>
      <c r="C59" s="937">
        <v>0</v>
      </c>
      <c r="D59" s="937">
        <v>0</v>
      </c>
      <c r="E59" s="937">
        <v>0</v>
      </c>
      <c r="F59" s="937">
        <v>0</v>
      </c>
      <c r="G59" s="937">
        <v>0</v>
      </c>
      <c r="H59" s="937">
        <v>0</v>
      </c>
      <c r="I59" s="937">
        <v>0</v>
      </c>
      <c r="J59" s="937">
        <v>0</v>
      </c>
      <c r="K59" s="937">
        <v>0</v>
      </c>
      <c r="L59" s="937">
        <v>2403837</v>
      </c>
      <c r="M59" s="937">
        <v>0</v>
      </c>
      <c r="N59" s="937">
        <v>0</v>
      </c>
      <c r="O59" s="937">
        <v>0</v>
      </c>
      <c r="P59" s="937">
        <v>0</v>
      </c>
      <c r="Q59" s="937">
        <v>0</v>
      </c>
      <c r="R59" s="937">
        <v>0</v>
      </c>
      <c r="S59" s="937">
        <v>0</v>
      </c>
      <c r="T59" s="937">
        <v>0</v>
      </c>
      <c r="U59" s="937">
        <v>0</v>
      </c>
      <c r="V59" s="937">
        <v>0</v>
      </c>
      <c r="W59" s="938" t="str">
        <f t="shared" si="6"/>
        <v>Restricted - Direct</v>
      </c>
      <c r="X59" s="938">
        <f t="shared" si="7"/>
        <v>2403837</v>
      </c>
    </row>
    <row r="60" spans="1:24" s="37" customFormat="1" x14ac:dyDescent="0.2">
      <c r="A60" s="2"/>
      <c r="B60" s="3" t="s">
        <v>298</v>
      </c>
      <c r="C60" s="937">
        <v>0</v>
      </c>
      <c r="D60" s="937">
        <v>0</v>
      </c>
      <c r="E60" s="937">
        <v>0</v>
      </c>
      <c r="F60" s="937">
        <v>0</v>
      </c>
      <c r="G60" s="937">
        <v>0</v>
      </c>
      <c r="H60" s="937">
        <v>0</v>
      </c>
      <c r="I60" s="937">
        <v>0</v>
      </c>
      <c r="J60" s="937">
        <v>0</v>
      </c>
      <c r="K60" s="937">
        <v>0</v>
      </c>
      <c r="L60" s="937">
        <v>39978200</v>
      </c>
      <c r="M60" s="937">
        <v>0</v>
      </c>
      <c r="N60" s="937">
        <v>0</v>
      </c>
      <c r="O60" s="937">
        <v>0</v>
      </c>
      <c r="P60" s="937">
        <v>0</v>
      </c>
      <c r="Q60" s="937">
        <v>0</v>
      </c>
      <c r="R60" s="937">
        <v>0</v>
      </c>
      <c r="S60" s="937">
        <v>0</v>
      </c>
      <c r="T60" s="937">
        <v>0</v>
      </c>
      <c r="U60" s="937">
        <v>0</v>
      </c>
      <c r="V60" s="937">
        <v>0</v>
      </c>
      <c r="W60" s="938" t="str">
        <f t="shared" si="6"/>
        <v>Restricted - State Agency</v>
      </c>
      <c r="X60" s="938">
        <f t="shared" si="7"/>
        <v>39978200</v>
      </c>
    </row>
    <row r="61" spans="1:24" s="37" customFormat="1" x14ac:dyDescent="0.2">
      <c r="A61" s="2"/>
      <c r="B61" s="3" t="s">
        <v>775</v>
      </c>
      <c r="C61" s="937">
        <v>0</v>
      </c>
      <c r="D61" s="937">
        <v>0</v>
      </c>
      <c r="E61" s="937">
        <v>0</v>
      </c>
      <c r="F61" s="937">
        <v>0</v>
      </c>
      <c r="G61" s="937">
        <v>0</v>
      </c>
      <c r="H61" s="937">
        <v>0</v>
      </c>
      <c r="I61" s="937">
        <v>0</v>
      </c>
      <c r="J61" s="937">
        <v>0</v>
      </c>
      <c r="K61" s="937">
        <v>0</v>
      </c>
      <c r="L61" s="937">
        <v>4255934</v>
      </c>
      <c r="M61" s="937">
        <v>0</v>
      </c>
      <c r="N61" s="937">
        <v>0</v>
      </c>
      <c r="O61" s="937">
        <v>0</v>
      </c>
      <c r="P61" s="937">
        <v>0</v>
      </c>
      <c r="Q61" s="937">
        <v>0</v>
      </c>
      <c r="R61" s="937">
        <v>0</v>
      </c>
      <c r="S61" s="937">
        <v>0</v>
      </c>
      <c r="T61" s="937">
        <v>21058860</v>
      </c>
      <c r="U61" s="937">
        <v>0</v>
      </c>
      <c r="V61" s="937">
        <v>0</v>
      </c>
      <c r="W61" s="938" t="str">
        <f t="shared" si="6"/>
        <v>Federal Other Flow Through</v>
      </c>
      <c r="X61" s="938">
        <f t="shared" si="7"/>
        <v>25314794</v>
      </c>
    </row>
    <row r="62" spans="1:24" s="37" customFormat="1" hidden="1" x14ac:dyDescent="0.2">
      <c r="A62" s="2"/>
      <c r="B62" s="3" t="s">
        <v>398</v>
      </c>
      <c r="C62" s="937">
        <v>0</v>
      </c>
      <c r="D62" s="937">
        <v>0</v>
      </c>
      <c r="E62" s="937">
        <v>0</v>
      </c>
      <c r="F62" s="937">
        <v>0</v>
      </c>
      <c r="G62" s="937">
        <v>0</v>
      </c>
      <c r="H62" s="937">
        <v>0</v>
      </c>
      <c r="I62" s="937">
        <v>0</v>
      </c>
      <c r="J62" s="937">
        <v>0</v>
      </c>
      <c r="K62" s="937">
        <v>0</v>
      </c>
      <c r="L62" s="937">
        <v>0</v>
      </c>
      <c r="M62" s="937">
        <v>0</v>
      </c>
      <c r="N62" s="937">
        <v>0</v>
      </c>
      <c r="O62" s="937">
        <v>0</v>
      </c>
      <c r="P62" s="937">
        <v>0</v>
      </c>
      <c r="Q62" s="937">
        <v>0</v>
      </c>
      <c r="R62" s="937">
        <v>0</v>
      </c>
      <c r="S62" s="937">
        <v>0</v>
      </c>
      <c r="T62" s="937">
        <v>0</v>
      </c>
      <c r="U62" s="937">
        <v>0</v>
      </c>
      <c r="V62" s="937">
        <v>0</v>
      </c>
      <c r="W62" s="938" t="str">
        <f t="shared" si="6"/>
        <v>Revenue in Lieu of Taxes</v>
      </c>
      <c r="X62" s="938">
        <f t="shared" si="7"/>
        <v>0</v>
      </c>
    </row>
    <row r="63" spans="1:24" hidden="1" x14ac:dyDescent="0.2">
      <c r="B63" s="3" t="s">
        <v>554</v>
      </c>
      <c r="C63" s="937">
        <v>0</v>
      </c>
      <c r="D63" s="937">
        <v>0</v>
      </c>
      <c r="E63" s="937">
        <v>0</v>
      </c>
      <c r="F63" s="937">
        <v>0</v>
      </c>
      <c r="G63" s="937">
        <v>0</v>
      </c>
      <c r="H63" s="937">
        <v>0</v>
      </c>
      <c r="I63" s="937">
        <v>0</v>
      </c>
      <c r="J63" s="937">
        <v>0</v>
      </c>
      <c r="K63" s="937">
        <v>0</v>
      </c>
      <c r="L63" s="937">
        <v>0</v>
      </c>
      <c r="M63" s="937">
        <v>0</v>
      </c>
      <c r="N63" s="937">
        <v>0</v>
      </c>
      <c r="O63" s="937">
        <v>0</v>
      </c>
      <c r="P63" s="937">
        <v>0</v>
      </c>
      <c r="Q63" s="937">
        <v>0</v>
      </c>
      <c r="R63" s="937">
        <v>0</v>
      </c>
      <c r="S63" s="937">
        <v>0</v>
      </c>
      <c r="T63" s="937">
        <v>0</v>
      </c>
      <c r="U63" s="937">
        <v>0</v>
      </c>
      <c r="V63" s="937">
        <v>0</v>
      </c>
      <c r="W63" s="938" t="str">
        <f t="shared" si="6"/>
        <v>Revenue for/on behalf of School District</v>
      </c>
      <c r="X63" s="938">
        <f t="shared" si="7"/>
        <v>0</v>
      </c>
    </row>
    <row r="64" spans="1:24" hidden="1" x14ac:dyDescent="0.2">
      <c r="C64" s="935"/>
      <c r="D64" s="935"/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9"/>
      <c r="X64" s="905"/>
    </row>
    <row r="65" spans="1:24" s="2" customFormat="1" x14ac:dyDescent="0.2">
      <c r="B65" s="39" t="s">
        <v>126</v>
      </c>
      <c r="C65" s="931">
        <f t="shared" ref="C65:V65" si="8">SUM(C51:C64)</f>
        <v>490000</v>
      </c>
      <c r="D65" s="931">
        <f t="shared" si="8"/>
        <v>0</v>
      </c>
      <c r="E65" s="931">
        <f t="shared" si="8"/>
        <v>0</v>
      </c>
      <c r="F65" s="931">
        <f t="shared" si="8"/>
        <v>0</v>
      </c>
      <c r="G65" s="931">
        <f t="shared" si="8"/>
        <v>0</v>
      </c>
      <c r="H65" s="931">
        <f t="shared" si="8"/>
        <v>0</v>
      </c>
      <c r="I65" s="931">
        <f t="shared" si="8"/>
        <v>0</v>
      </c>
      <c r="J65" s="931">
        <f t="shared" si="8"/>
        <v>0</v>
      </c>
      <c r="K65" s="931">
        <f t="shared" si="8"/>
        <v>0</v>
      </c>
      <c r="L65" s="931">
        <f t="shared" si="8"/>
        <v>46637971</v>
      </c>
      <c r="M65" s="931">
        <f t="shared" si="8"/>
        <v>0</v>
      </c>
      <c r="N65" s="931">
        <f t="shared" si="8"/>
        <v>0</v>
      </c>
      <c r="O65" s="931">
        <f t="shared" si="8"/>
        <v>0</v>
      </c>
      <c r="P65" s="931">
        <f t="shared" si="8"/>
        <v>0</v>
      </c>
      <c r="Q65" s="931">
        <f t="shared" si="8"/>
        <v>0</v>
      </c>
      <c r="R65" s="931">
        <f t="shared" si="8"/>
        <v>0</v>
      </c>
      <c r="S65" s="931">
        <f t="shared" si="8"/>
        <v>0</v>
      </c>
      <c r="T65" s="931">
        <f t="shared" si="8"/>
        <v>21058860</v>
      </c>
      <c r="U65" s="931">
        <f t="shared" si="8"/>
        <v>0</v>
      </c>
      <c r="V65" s="931">
        <f t="shared" si="8"/>
        <v>0</v>
      </c>
      <c r="W65" s="930">
        <f>SUM(C65:V65)</f>
        <v>68186831</v>
      </c>
      <c r="X65" s="903"/>
    </row>
    <row r="66" spans="1:24" x14ac:dyDescent="0.2">
      <c r="B66" s="550"/>
      <c r="C66" s="935"/>
      <c r="D66" s="935"/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9"/>
      <c r="X66" s="905"/>
    </row>
    <row r="67" spans="1:24" x14ac:dyDescent="0.2">
      <c r="B67" s="550" t="s">
        <v>404</v>
      </c>
      <c r="C67" s="935">
        <v>0</v>
      </c>
      <c r="D67" s="935">
        <v>0</v>
      </c>
      <c r="E67" s="935">
        <v>0</v>
      </c>
      <c r="F67" s="935">
        <v>285000000</v>
      </c>
      <c r="G67" s="935">
        <v>0</v>
      </c>
      <c r="H67" s="935">
        <v>0</v>
      </c>
      <c r="I67" s="935">
        <v>0</v>
      </c>
      <c r="J67" s="935">
        <v>0</v>
      </c>
      <c r="K67" s="935">
        <v>75000000</v>
      </c>
      <c r="L67" s="935">
        <v>0</v>
      </c>
      <c r="M67" s="935">
        <v>0</v>
      </c>
      <c r="N67" s="935">
        <v>0</v>
      </c>
      <c r="O67" s="935">
        <v>0</v>
      </c>
      <c r="P67" s="935">
        <v>0</v>
      </c>
      <c r="Q67" s="935">
        <v>0</v>
      </c>
      <c r="R67" s="935">
        <v>0</v>
      </c>
      <c r="S67" s="935">
        <v>0</v>
      </c>
      <c r="T67" s="935">
        <v>0</v>
      </c>
      <c r="U67" s="935">
        <v>0</v>
      </c>
      <c r="V67" s="935">
        <v>0</v>
      </c>
      <c r="W67" s="905" t="s">
        <v>300</v>
      </c>
      <c r="X67" s="935">
        <f>SUM(C67:V67)</f>
        <v>360000000</v>
      </c>
    </row>
    <row r="68" spans="1:24" x14ac:dyDescent="0.2">
      <c r="B68" s="550" t="s">
        <v>408</v>
      </c>
      <c r="C68" s="935">
        <v>0</v>
      </c>
      <c r="D68" s="935">
        <v>0</v>
      </c>
      <c r="E68" s="935">
        <v>0</v>
      </c>
      <c r="F68" s="935">
        <v>3420000</v>
      </c>
      <c r="G68" s="935">
        <v>0</v>
      </c>
      <c r="H68" s="935">
        <v>0</v>
      </c>
      <c r="I68" s="935">
        <v>0</v>
      </c>
      <c r="J68" s="935">
        <v>0</v>
      </c>
      <c r="K68" s="935">
        <v>0</v>
      </c>
      <c r="L68" s="935">
        <v>0</v>
      </c>
      <c r="M68" s="935">
        <v>0</v>
      </c>
      <c r="N68" s="935">
        <v>0</v>
      </c>
      <c r="O68" s="935">
        <v>0</v>
      </c>
      <c r="P68" s="935">
        <v>0</v>
      </c>
      <c r="Q68" s="935">
        <v>0</v>
      </c>
      <c r="R68" s="935">
        <v>0</v>
      </c>
      <c r="S68" s="935">
        <v>0</v>
      </c>
      <c r="T68" s="935">
        <v>0</v>
      </c>
      <c r="U68" s="935">
        <v>0</v>
      </c>
      <c r="V68" s="935">
        <v>0</v>
      </c>
      <c r="W68" s="905" t="s">
        <v>408</v>
      </c>
      <c r="X68" s="935">
        <f>SUM(C68:V68)</f>
        <v>3420000</v>
      </c>
    </row>
    <row r="69" spans="1:24" x14ac:dyDescent="0.2">
      <c r="B69" s="550" t="s">
        <v>301</v>
      </c>
      <c r="C69" s="935">
        <v>0</v>
      </c>
      <c r="D69" s="935">
        <v>0</v>
      </c>
      <c r="E69" s="935">
        <v>0</v>
      </c>
      <c r="F69" s="935">
        <v>0</v>
      </c>
      <c r="G69" s="935">
        <v>0</v>
      </c>
      <c r="H69" s="935">
        <v>0</v>
      </c>
      <c r="I69" s="935">
        <v>60000</v>
      </c>
      <c r="J69" s="935">
        <v>0</v>
      </c>
      <c r="K69" s="935">
        <v>672824</v>
      </c>
      <c r="L69" s="935">
        <v>0</v>
      </c>
      <c r="M69" s="935">
        <v>45355506</v>
      </c>
      <c r="N69" s="935">
        <v>0</v>
      </c>
      <c r="O69" s="935">
        <v>2001442</v>
      </c>
      <c r="P69" s="935">
        <v>0</v>
      </c>
      <c r="Q69" s="935">
        <v>0</v>
      </c>
      <c r="R69" s="935">
        <v>0</v>
      </c>
      <c r="S69" s="935">
        <v>0</v>
      </c>
      <c r="T69" s="935">
        <v>0</v>
      </c>
      <c r="U69" s="935">
        <v>0</v>
      </c>
      <c r="V69" s="935">
        <v>-93595616</v>
      </c>
      <c r="W69" s="905" t="s">
        <v>301</v>
      </c>
      <c r="X69" s="935">
        <f>SUM(C69:V69)</f>
        <v>-45505844</v>
      </c>
    </row>
    <row r="70" spans="1:24" x14ac:dyDescent="0.2">
      <c r="B70" s="550" t="s">
        <v>776</v>
      </c>
      <c r="C70" s="935">
        <v>80000</v>
      </c>
      <c r="D70" s="935">
        <v>0</v>
      </c>
      <c r="E70" s="935">
        <v>0</v>
      </c>
      <c r="F70" s="935">
        <v>0</v>
      </c>
      <c r="G70" s="935">
        <v>0</v>
      </c>
      <c r="H70" s="935">
        <v>0</v>
      </c>
      <c r="I70" s="935">
        <v>2300000</v>
      </c>
      <c r="J70" s="935">
        <v>0</v>
      </c>
      <c r="K70" s="935">
        <v>0</v>
      </c>
      <c r="L70" s="935">
        <v>0</v>
      </c>
      <c r="M70" s="935">
        <v>0</v>
      </c>
      <c r="N70" s="935">
        <v>0</v>
      </c>
      <c r="O70" s="935">
        <v>0</v>
      </c>
      <c r="P70" s="935">
        <v>0</v>
      </c>
      <c r="Q70" s="935">
        <v>0</v>
      </c>
      <c r="R70" s="935">
        <v>0</v>
      </c>
      <c r="S70" s="935">
        <v>0</v>
      </c>
      <c r="T70" s="935">
        <v>0</v>
      </c>
      <c r="U70" s="935">
        <v>0</v>
      </c>
      <c r="V70" s="935">
        <v>0</v>
      </c>
      <c r="W70" s="905" t="s">
        <v>661</v>
      </c>
      <c r="X70" s="935">
        <f>SUM(C70:V70)</f>
        <v>2380000</v>
      </c>
    </row>
    <row r="71" spans="1:24" hidden="1" x14ac:dyDescent="0.2">
      <c r="C71" s="935"/>
      <c r="D71" s="935"/>
      <c r="E71" s="935"/>
      <c r="F71" s="935"/>
      <c r="G71" s="935"/>
      <c r="H71" s="935"/>
      <c r="I71" s="935"/>
      <c r="J71" s="935"/>
      <c r="K71" s="935"/>
      <c r="L71" s="935"/>
      <c r="M71" s="935"/>
      <c r="N71" s="935"/>
      <c r="O71" s="935"/>
      <c r="P71" s="935"/>
      <c r="Q71" s="935"/>
      <c r="R71" s="935"/>
      <c r="S71" s="935"/>
      <c r="T71" s="935"/>
      <c r="U71" s="935"/>
      <c r="V71" s="935"/>
      <c r="W71" s="939"/>
      <c r="X71" s="905"/>
    </row>
    <row r="72" spans="1:24" s="2" customFormat="1" x14ac:dyDescent="0.2">
      <c r="B72" s="39" t="s">
        <v>127</v>
      </c>
      <c r="C72" s="931">
        <f t="shared" ref="C72:V72" si="9">SUM(C66:C71)</f>
        <v>80000</v>
      </c>
      <c r="D72" s="931">
        <f t="shared" si="9"/>
        <v>0</v>
      </c>
      <c r="E72" s="931">
        <f t="shared" si="9"/>
        <v>0</v>
      </c>
      <c r="F72" s="931">
        <f t="shared" si="9"/>
        <v>288420000</v>
      </c>
      <c r="G72" s="931">
        <f t="shared" si="9"/>
        <v>0</v>
      </c>
      <c r="H72" s="931">
        <f t="shared" si="9"/>
        <v>0</v>
      </c>
      <c r="I72" s="931">
        <f t="shared" si="9"/>
        <v>2360000</v>
      </c>
      <c r="J72" s="931">
        <f t="shared" si="9"/>
        <v>0</v>
      </c>
      <c r="K72" s="931">
        <f t="shared" si="9"/>
        <v>75672824</v>
      </c>
      <c r="L72" s="931">
        <f t="shared" si="9"/>
        <v>0</v>
      </c>
      <c r="M72" s="931">
        <f t="shared" si="9"/>
        <v>45355506</v>
      </c>
      <c r="N72" s="931">
        <f t="shared" si="9"/>
        <v>0</v>
      </c>
      <c r="O72" s="931">
        <f t="shared" si="9"/>
        <v>2001442</v>
      </c>
      <c r="P72" s="931">
        <f t="shared" si="9"/>
        <v>0</v>
      </c>
      <c r="Q72" s="931">
        <f>SUM(Q66:Q71)</f>
        <v>0</v>
      </c>
      <c r="R72" s="931">
        <f t="shared" si="9"/>
        <v>0</v>
      </c>
      <c r="S72" s="931">
        <f t="shared" si="9"/>
        <v>0</v>
      </c>
      <c r="T72" s="931">
        <f t="shared" si="9"/>
        <v>0</v>
      </c>
      <c r="U72" s="931">
        <f t="shared" si="9"/>
        <v>0</v>
      </c>
      <c r="V72" s="931">
        <f t="shared" si="9"/>
        <v>-93595616</v>
      </c>
      <c r="W72" s="930">
        <f>SUM(C72:V72)</f>
        <v>320294156</v>
      </c>
      <c r="X72" s="903"/>
    </row>
    <row r="73" spans="1:24" x14ac:dyDescent="0.2">
      <c r="C73" s="935"/>
      <c r="D73" s="935"/>
      <c r="E73" s="935"/>
      <c r="F73" s="935"/>
      <c r="G73" s="935"/>
      <c r="H73" s="935"/>
      <c r="I73" s="935"/>
      <c r="J73" s="935"/>
      <c r="K73" s="935"/>
      <c r="L73" s="935"/>
      <c r="M73" s="935"/>
      <c r="N73" s="935"/>
      <c r="O73" s="935"/>
      <c r="P73" s="935"/>
      <c r="Q73" s="935"/>
      <c r="R73" s="935"/>
      <c r="S73" s="935"/>
      <c r="T73" s="935"/>
      <c r="U73" s="935"/>
      <c r="V73" s="935"/>
      <c r="W73" s="939"/>
      <c r="X73" s="905"/>
    </row>
    <row r="74" spans="1:24" s="2" customFormat="1" x14ac:dyDescent="0.2">
      <c r="B74" s="18" t="s">
        <v>128</v>
      </c>
      <c r="C74" s="931">
        <f>SUM(C72,C65,C50,C36)</f>
        <v>488746211</v>
      </c>
      <c r="D74" s="931">
        <f t="shared" ref="D74:V74" si="10">SUM(D72,D65,D50,D36)</f>
        <v>135000</v>
      </c>
      <c r="E74" s="931">
        <f t="shared" si="10"/>
        <v>0</v>
      </c>
      <c r="F74" s="931">
        <f t="shared" si="10"/>
        <v>288420000</v>
      </c>
      <c r="G74" s="931">
        <f t="shared" si="10"/>
        <v>48138238</v>
      </c>
      <c r="H74" s="931">
        <f t="shared" si="10"/>
        <v>490000</v>
      </c>
      <c r="I74" s="931">
        <f t="shared" si="10"/>
        <v>7991322</v>
      </c>
      <c r="J74" s="931">
        <f t="shared" si="10"/>
        <v>0</v>
      </c>
      <c r="K74" s="931">
        <f t="shared" si="10"/>
        <v>75672824</v>
      </c>
      <c r="L74" s="931">
        <f t="shared" si="10"/>
        <v>81264137</v>
      </c>
      <c r="M74" s="931">
        <f t="shared" si="10"/>
        <v>77937164</v>
      </c>
      <c r="N74" s="931">
        <f t="shared" si="10"/>
        <v>19067925</v>
      </c>
      <c r="O74" s="931">
        <f t="shared" si="10"/>
        <v>65346019</v>
      </c>
      <c r="P74" s="931">
        <f t="shared" si="10"/>
        <v>46309425</v>
      </c>
      <c r="Q74" s="931">
        <f t="shared" si="10"/>
        <v>2749362</v>
      </c>
      <c r="R74" s="931">
        <f t="shared" si="10"/>
        <v>88040487</v>
      </c>
      <c r="S74" s="931">
        <f t="shared" si="10"/>
        <v>2278593</v>
      </c>
      <c r="T74" s="931">
        <f t="shared" si="10"/>
        <v>27716926</v>
      </c>
      <c r="U74" s="931">
        <f t="shared" si="10"/>
        <v>3140019</v>
      </c>
      <c r="V74" s="931">
        <f t="shared" si="10"/>
        <v>-93595616</v>
      </c>
      <c r="W74" s="930">
        <f>SUM(W36:W73)</f>
        <v>1229848036</v>
      </c>
      <c r="X74" s="903"/>
    </row>
    <row r="75" spans="1:24" s="2" customFormat="1" x14ac:dyDescent="0.2">
      <c r="B75" s="18"/>
      <c r="C75" s="931"/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0"/>
      <c r="X75" s="903"/>
    </row>
    <row r="76" spans="1:24" s="37" customFormat="1" x14ac:dyDescent="0.2">
      <c r="A76" s="2"/>
      <c r="B76" s="3" t="s">
        <v>777</v>
      </c>
      <c r="C76" s="937">
        <v>1231215</v>
      </c>
      <c r="D76" s="937">
        <v>0</v>
      </c>
      <c r="E76" s="937">
        <v>0</v>
      </c>
      <c r="F76" s="937">
        <v>0</v>
      </c>
      <c r="G76" s="937">
        <v>0</v>
      </c>
      <c r="H76" s="937">
        <v>0</v>
      </c>
      <c r="I76" s="937">
        <v>0</v>
      </c>
      <c r="J76" s="937">
        <v>0</v>
      </c>
      <c r="K76" s="937">
        <v>0</v>
      </c>
      <c r="L76" s="937">
        <v>0</v>
      </c>
      <c r="M76" s="937">
        <v>0</v>
      </c>
      <c r="N76" s="937">
        <v>0</v>
      </c>
      <c r="O76" s="937">
        <v>0</v>
      </c>
      <c r="P76" s="937">
        <v>0</v>
      </c>
      <c r="Q76" s="937">
        <v>0</v>
      </c>
      <c r="R76" s="937">
        <v>0</v>
      </c>
      <c r="S76" s="937">
        <v>0</v>
      </c>
      <c r="T76" s="937">
        <v>0</v>
      </c>
      <c r="U76" s="937">
        <v>0</v>
      </c>
      <c r="V76" s="937">
        <v>0</v>
      </c>
      <c r="W76" s="938" t="str">
        <f t="shared" ref="W76:W83" si="11">B76</f>
        <v>Nonspendable Inventory</v>
      </c>
      <c r="X76" s="938">
        <f t="shared" ref="X76:X83" si="12">SUM(C76:V76)</f>
        <v>1231215</v>
      </c>
    </row>
    <row r="77" spans="1:24" s="37" customFormat="1" x14ac:dyDescent="0.2">
      <c r="A77" s="2"/>
      <c r="B77" s="3" t="s">
        <v>778</v>
      </c>
      <c r="C77" s="937">
        <v>1460365</v>
      </c>
      <c r="D77" s="937">
        <v>0</v>
      </c>
      <c r="E77" s="937">
        <v>0</v>
      </c>
      <c r="F77" s="937">
        <v>0</v>
      </c>
      <c r="G77" s="937">
        <v>0</v>
      </c>
      <c r="H77" s="937">
        <v>0</v>
      </c>
      <c r="I77" s="937">
        <v>0</v>
      </c>
      <c r="J77" s="937">
        <v>0</v>
      </c>
      <c r="K77" s="937">
        <v>0</v>
      </c>
      <c r="L77" s="937">
        <v>0</v>
      </c>
      <c r="M77" s="937">
        <v>0</v>
      </c>
      <c r="N77" s="937">
        <v>0</v>
      </c>
      <c r="O77" s="937">
        <v>0</v>
      </c>
      <c r="P77" s="937">
        <v>0</v>
      </c>
      <c r="Q77" s="937">
        <v>0</v>
      </c>
      <c r="R77" s="937">
        <v>0</v>
      </c>
      <c r="S77" s="937">
        <v>0</v>
      </c>
      <c r="T77" s="937">
        <v>0</v>
      </c>
      <c r="U77" s="937">
        <v>0</v>
      </c>
      <c r="V77" s="937">
        <v>0</v>
      </c>
      <c r="W77" s="938" t="str">
        <f t="shared" si="11"/>
        <v>Assigned for Encumbrances</v>
      </c>
      <c r="X77" s="938">
        <f t="shared" si="12"/>
        <v>1460365</v>
      </c>
    </row>
    <row r="78" spans="1:24" s="37" customFormat="1" x14ac:dyDescent="0.2">
      <c r="A78" s="2"/>
      <c r="B78" s="3" t="s">
        <v>779</v>
      </c>
      <c r="C78" s="937">
        <v>260241</v>
      </c>
      <c r="D78" s="937">
        <v>0</v>
      </c>
      <c r="E78" s="937">
        <v>0</v>
      </c>
      <c r="F78" s="937">
        <v>0</v>
      </c>
      <c r="G78" s="937">
        <v>0</v>
      </c>
      <c r="H78" s="937">
        <v>0</v>
      </c>
      <c r="I78" s="937">
        <v>0</v>
      </c>
      <c r="J78" s="937">
        <v>0</v>
      </c>
      <c r="K78" s="937">
        <v>0</v>
      </c>
      <c r="L78" s="937">
        <v>0</v>
      </c>
      <c r="M78" s="937">
        <v>0</v>
      </c>
      <c r="N78" s="937">
        <v>0</v>
      </c>
      <c r="O78" s="937">
        <v>0</v>
      </c>
      <c r="P78" s="937">
        <v>0</v>
      </c>
      <c r="Q78" s="937">
        <v>0</v>
      </c>
      <c r="R78" s="937">
        <v>0</v>
      </c>
      <c r="S78" s="937">
        <v>0</v>
      </c>
      <c r="T78" s="937">
        <v>0</v>
      </c>
      <c r="U78" s="937">
        <v>0</v>
      </c>
      <c r="V78" s="937">
        <v>0</v>
      </c>
      <c r="W78" s="938" t="str">
        <f t="shared" si="11"/>
        <v>Assigned for General Supply Carryover</v>
      </c>
      <c r="X78" s="938">
        <f t="shared" si="12"/>
        <v>260241</v>
      </c>
    </row>
    <row r="79" spans="1:24" s="37" customFormat="1" hidden="1" x14ac:dyDescent="0.2">
      <c r="A79" s="2"/>
      <c r="B79" s="3" t="s">
        <v>663</v>
      </c>
      <c r="C79" s="937">
        <v>0</v>
      </c>
      <c r="D79" s="937">
        <v>0</v>
      </c>
      <c r="E79" s="937">
        <v>0</v>
      </c>
      <c r="F79" s="937">
        <v>0</v>
      </c>
      <c r="G79" s="937">
        <v>0</v>
      </c>
      <c r="H79" s="937">
        <v>0</v>
      </c>
      <c r="I79" s="937">
        <v>0</v>
      </c>
      <c r="J79" s="937">
        <v>0</v>
      </c>
      <c r="K79" s="937">
        <v>0</v>
      </c>
      <c r="L79" s="937">
        <v>0</v>
      </c>
      <c r="M79" s="937">
        <v>0</v>
      </c>
      <c r="N79" s="937">
        <v>0</v>
      </c>
      <c r="O79" s="937">
        <v>0</v>
      </c>
      <c r="P79" s="937">
        <v>0</v>
      </c>
      <c r="Q79" s="937">
        <v>0</v>
      </c>
      <c r="R79" s="937">
        <v>0</v>
      </c>
      <c r="S79" s="937">
        <v>0</v>
      </c>
      <c r="T79" s="937">
        <v>0</v>
      </c>
      <c r="U79" s="937">
        <v>0</v>
      </c>
      <c r="V79" s="937">
        <v>0</v>
      </c>
      <c r="W79" s="938" t="str">
        <f t="shared" si="11"/>
        <v>Reserved Fund Balance - PIRC</v>
      </c>
      <c r="X79" s="938">
        <f t="shared" si="12"/>
        <v>0</v>
      </c>
    </row>
    <row r="80" spans="1:24" s="37" customFormat="1" hidden="1" x14ac:dyDescent="0.2">
      <c r="A80" s="2"/>
      <c r="B80" s="3" t="s">
        <v>303</v>
      </c>
      <c r="C80" s="937">
        <v>0</v>
      </c>
      <c r="D80" s="937">
        <v>0</v>
      </c>
      <c r="E80" s="937">
        <v>0</v>
      </c>
      <c r="F80" s="937">
        <v>0</v>
      </c>
      <c r="G80" s="937">
        <v>0</v>
      </c>
      <c r="H80" s="937">
        <v>0</v>
      </c>
      <c r="I80" s="937">
        <v>0</v>
      </c>
      <c r="J80" s="937">
        <v>0</v>
      </c>
      <c r="K80" s="937">
        <v>0</v>
      </c>
      <c r="L80" s="937">
        <v>0</v>
      </c>
      <c r="M80" s="937">
        <v>0</v>
      </c>
      <c r="N80" s="937">
        <v>0</v>
      </c>
      <c r="O80" s="937">
        <v>0</v>
      </c>
      <c r="P80" s="937">
        <v>0</v>
      </c>
      <c r="Q80" s="937">
        <v>0</v>
      </c>
      <c r="R80" s="937">
        <v>0</v>
      </c>
      <c r="S80" s="937">
        <v>0</v>
      </c>
      <c r="T80" s="937">
        <v>0</v>
      </c>
      <c r="U80" s="937">
        <v>0</v>
      </c>
      <c r="V80" s="937">
        <v>0</v>
      </c>
      <c r="W80" s="938" t="str">
        <f t="shared" si="11"/>
        <v>Reserved Opening Balance</v>
      </c>
      <c r="X80" s="938">
        <f t="shared" si="12"/>
        <v>0</v>
      </c>
    </row>
    <row r="81" spans="1:25" s="37" customFormat="1" x14ac:dyDescent="0.2">
      <c r="A81" s="2"/>
      <c r="B81" s="3" t="s">
        <v>780</v>
      </c>
      <c r="C81" s="937">
        <v>0</v>
      </c>
      <c r="D81" s="937">
        <v>1054431</v>
      </c>
      <c r="E81" s="937">
        <v>0</v>
      </c>
      <c r="F81" s="937">
        <v>0</v>
      </c>
      <c r="G81" s="937">
        <v>0</v>
      </c>
      <c r="H81" s="937">
        <v>0</v>
      </c>
      <c r="I81" s="937">
        <v>0</v>
      </c>
      <c r="J81" s="937">
        <v>0</v>
      </c>
      <c r="K81" s="937">
        <v>0</v>
      </c>
      <c r="L81" s="937">
        <v>0</v>
      </c>
      <c r="M81" s="937">
        <v>0</v>
      </c>
      <c r="N81" s="937">
        <v>0</v>
      </c>
      <c r="O81" s="937">
        <v>0</v>
      </c>
      <c r="P81" s="937">
        <v>0</v>
      </c>
      <c r="Q81" s="937">
        <v>0</v>
      </c>
      <c r="R81" s="937">
        <v>0</v>
      </c>
      <c r="S81" s="937">
        <v>0</v>
      </c>
      <c r="T81" s="937">
        <v>0</v>
      </c>
      <c r="U81" s="937">
        <v>0</v>
      </c>
      <c r="V81" s="937">
        <v>0</v>
      </c>
      <c r="W81" s="938" t="str">
        <f t="shared" si="11"/>
        <v>Restricted Opening Balance</v>
      </c>
      <c r="X81" s="938">
        <f t="shared" si="12"/>
        <v>1054431</v>
      </c>
    </row>
    <row r="82" spans="1:25" s="37" customFormat="1" x14ac:dyDescent="0.2">
      <c r="A82" s="2"/>
      <c r="B82" s="3" t="s">
        <v>781</v>
      </c>
      <c r="C82" s="937">
        <v>38764107</v>
      </c>
      <c r="D82" s="937">
        <v>0</v>
      </c>
      <c r="E82" s="937">
        <v>71381969.920000002</v>
      </c>
      <c r="F82" s="937">
        <v>0</v>
      </c>
      <c r="G82" s="937">
        <v>52110203.659999996</v>
      </c>
      <c r="H82" s="937">
        <v>719915.41</v>
      </c>
      <c r="I82" s="937">
        <v>9599145.3000000007</v>
      </c>
      <c r="J82" s="937">
        <v>17810182.739999998</v>
      </c>
      <c r="K82" s="937">
        <v>0</v>
      </c>
      <c r="L82" s="937">
        <v>3120402</v>
      </c>
      <c r="M82" s="937">
        <v>0</v>
      </c>
      <c r="N82" s="937">
        <v>0</v>
      </c>
      <c r="O82" s="937">
        <v>34309471</v>
      </c>
      <c r="P82" s="937">
        <v>16905034</v>
      </c>
      <c r="Q82" s="937">
        <v>2086623</v>
      </c>
      <c r="R82" s="937">
        <v>50600544</v>
      </c>
      <c r="S82" s="937">
        <v>1304462</v>
      </c>
      <c r="T82" s="937">
        <v>-4852122</v>
      </c>
      <c r="U82" s="937">
        <v>21136002</v>
      </c>
      <c r="V82" s="937">
        <v>0</v>
      </c>
      <c r="W82" s="938" t="str">
        <f t="shared" si="11"/>
        <v>Unassigned Opening Balance</v>
      </c>
      <c r="X82" s="938">
        <f t="shared" si="12"/>
        <v>314995940.02999997</v>
      </c>
    </row>
    <row r="83" spans="1:25" s="37" customFormat="1" x14ac:dyDescent="0.2">
      <c r="A83" s="2"/>
      <c r="B83" s="3" t="s">
        <v>305</v>
      </c>
      <c r="C83" s="937">
        <v>0</v>
      </c>
      <c r="D83" s="937">
        <v>0</v>
      </c>
      <c r="E83" s="937">
        <v>0</v>
      </c>
      <c r="F83" s="937">
        <v>0</v>
      </c>
      <c r="G83" s="937">
        <v>0</v>
      </c>
      <c r="H83" s="937">
        <v>0</v>
      </c>
      <c r="I83" s="937">
        <v>0</v>
      </c>
      <c r="J83" s="937">
        <v>0</v>
      </c>
      <c r="K83" s="937">
        <v>0</v>
      </c>
      <c r="L83" s="937">
        <v>0</v>
      </c>
      <c r="M83" s="937">
        <v>0</v>
      </c>
      <c r="N83" s="937">
        <v>0</v>
      </c>
      <c r="O83" s="937">
        <v>0</v>
      </c>
      <c r="P83" s="937">
        <v>0</v>
      </c>
      <c r="Q83" s="937">
        <v>0</v>
      </c>
      <c r="R83" s="937">
        <v>0</v>
      </c>
      <c r="S83" s="937">
        <v>0</v>
      </c>
      <c r="T83" s="937">
        <v>0</v>
      </c>
      <c r="U83" s="937">
        <v>0</v>
      </c>
      <c r="V83" s="937">
        <v>0</v>
      </c>
      <c r="W83" s="938" t="str">
        <f t="shared" si="11"/>
        <v>Reverted to State</v>
      </c>
      <c r="X83" s="938">
        <f t="shared" si="12"/>
        <v>0</v>
      </c>
    </row>
    <row r="84" spans="1:25" hidden="1" x14ac:dyDescent="0.2">
      <c r="C84" s="935"/>
      <c r="D84" s="935"/>
      <c r="E84" s="935"/>
      <c r="F84" s="935"/>
      <c r="G84" s="935"/>
      <c r="H84" s="935"/>
      <c r="I84" s="935"/>
      <c r="J84" s="935"/>
      <c r="K84" s="935"/>
      <c r="L84" s="935"/>
      <c r="M84" s="935"/>
      <c r="N84" s="935"/>
      <c r="O84" s="935"/>
      <c r="P84" s="935"/>
      <c r="Q84" s="935"/>
      <c r="R84" s="935"/>
      <c r="S84" s="935"/>
      <c r="T84" s="935"/>
      <c r="U84" s="935"/>
      <c r="V84" s="935"/>
      <c r="W84" s="905"/>
      <c r="X84" s="905"/>
    </row>
    <row r="85" spans="1:25" s="2" customFormat="1" x14ac:dyDescent="0.2">
      <c r="B85" s="39" t="s">
        <v>129</v>
      </c>
      <c r="C85" s="931">
        <f>SUM(C75:C84)</f>
        <v>41715928</v>
      </c>
      <c r="D85" s="931">
        <f t="shared" ref="D85:V85" si="13">SUM(D75:D84)</f>
        <v>1054431</v>
      </c>
      <c r="E85" s="931">
        <f t="shared" si="13"/>
        <v>71381969.920000002</v>
      </c>
      <c r="F85" s="931">
        <f t="shared" si="13"/>
        <v>0</v>
      </c>
      <c r="G85" s="931">
        <f t="shared" si="13"/>
        <v>52110203.659999996</v>
      </c>
      <c r="H85" s="931">
        <f t="shared" si="13"/>
        <v>719915.41</v>
      </c>
      <c r="I85" s="931">
        <f t="shared" si="13"/>
        <v>9599145.3000000007</v>
      </c>
      <c r="J85" s="931">
        <f t="shared" si="13"/>
        <v>17810182.739999998</v>
      </c>
      <c r="K85" s="931">
        <f t="shared" si="13"/>
        <v>0</v>
      </c>
      <c r="L85" s="931">
        <f t="shared" si="13"/>
        <v>3120402</v>
      </c>
      <c r="M85" s="931">
        <f t="shared" si="13"/>
        <v>0</v>
      </c>
      <c r="N85" s="931">
        <f t="shared" si="13"/>
        <v>0</v>
      </c>
      <c r="O85" s="931">
        <f t="shared" si="13"/>
        <v>34309471</v>
      </c>
      <c r="P85" s="931">
        <f t="shared" si="13"/>
        <v>16905034</v>
      </c>
      <c r="Q85" s="931">
        <f t="shared" si="13"/>
        <v>2086623</v>
      </c>
      <c r="R85" s="931">
        <f t="shared" si="13"/>
        <v>50600544</v>
      </c>
      <c r="S85" s="931">
        <f t="shared" si="13"/>
        <v>1304462</v>
      </c>
      <c r="T85" s="931">
        <f t="shared" si="13"/>
        <v>-4852122</v>
      </c>
      <c r="U85" s="931">
        <f t="shared" si="13"/>
        <v>21136002</v>
      </c>
      <c r="V85" s="931">
        <f t="shared" si="13"/>
        <v>0</v>
      </c>
      <c r="W85" s="931">
        <f>SUM(C85:V85)</f>
        <v>319002192.02999997</v>
      </c>
      <c r="X85" s="903"/>
    </row>
    <row r="87" spans="1:25" x14ac:dyDescent="0.2">
      <c r="A87" s="22"/>
      <c r="B87" s="23" t="s">
        <v>306</v>
      </c>
      <c r="C87" s="24">
        <f>SUM(C85,C74)</f>
        <v>530462139</v>
      </c>
      <c r="D87" s="24">
        <f t="shared" ref="D87:V87" si="14">SUM(D85,D74)</f>
        <v>1189431</v>
      </c>
      <c r="E87" s="24">
        <f t="shared" si="14"/>
        <v>71381969.920000002</v>
      </c>
      <c r="F87" s="24">
        <f t="shared" si="14"/>
        <v>288420000</v>
      </c>
      <c r="G87" s="24">
        <f t="shared" si="14"/>
        <v>100248441.66</v>
      </c>
      <c r="H87" s="24">
        <f t="shared" si="14"/>
        <v>1209915.4100000001</v>
      </c>
      <c r="I87" s="24">
        <f t="shared" si="14"/>
        <v>17590467.300000001</v>
      </c>
      <c r="J87" s="24">
        <f t="shared" si="14"/>
        <v>17810182.739999998</v>
      </c>
      <c r="K87" s="24">
        <f t="shared" si="14"/>
        <v>75672824</v>
      </c>
      <c r="L87" s="24">
        <f t="shared" si="14"/>
        <v>84384539</v>
      </c>
      <c r="M87" s="24">
        <f t="shared" si="14"/>
        <v>77937164</v>
      </c>
      <c r="N87" s="24">
        <f t="shared" si="14"/>
        <v>19067925</v>
      </c>
      <c r="O87" s="24">
        <f t="shared" si="14"/>
        <v>99655490</v>
      </c>
      <c r="P87" s="24">
        <f t="shared" si="14"/>
        <v>63214459</v>
      </c>
      <c r="Q87" s="24">
        <f t="shared" si="14"/>
        <v>4835985</v>
      </c>
      <c r="R87" s="24">
        <f t="shared" si="14"/>
        <v>138641031</v>
      </c>
      <c r="S87" s="24">
        <f t="shared" si="14"/>
        <v>3583055</v>
      </c>
      <c r="T87" s="24">
        <f t="shared" si="14"/>
        <v>22864804</v>
      </c>
      <c r="U87" s="24">
        <f t="shared" si="14"/>
        <v>24276021</v>
      </c>
      <c r="V87" s="24">
        <f t="shared" si="14"/>
        <v>-93595616</v>
      </c>
      <c r="W87" s="944">
        <f>SUM(C87:V87)</f>
        <v>1548850228.0299997</v>
      </c>
      <c r="X87" s="912">
        <f>F1-W87</f>
        <v>0</v>
      </c>
      <c r="Y87" s="17"/>
    </row>
    <row r="88" spans="1:25" s="2" customFormat="1" x14ac:dyDescent="0.2">
      <c r="A88" s="27"/>
      <c r="B88" s="28" t="s">
        <v>131</v>
      </c>
      <c r="C88" s="285">
        <f t="shared" ref="C88:V88" si="15">SUM(C92:C232)</f>
        <v>530462139</v>
      </c>
      <c r="D88" s="285">
        <f t="shared" si="15"/>
        <v>1189431</v>
      </c>
      <c r="E88" s="285">
        <f t="shared" si="15"/>
        <v>71381969.920000002</v>
      </c>
      <c r="F88" s="285">
        <f t="shared" si="15"/>
        <v>288420000</v>
      </c>
      <c r="G88" s="285">
        <f t="shared" si="15"/>
        <v>100248441.66</v>
      </c>
      <c r="H88" s="285">
        <f t="shared" si="15"/>
        <v>1209915.4100000001</v>
      </c>
      <c r="I88" s="285">
        <f t="shared" si="15"/>
        <v>17590467.300000001</v>
      </c>
      <c r="J88" s="285">
        <f t="shared" si="15"/>
        <v>17810182.740000002</v>
      </c>
      <c r="K88" s="285">
        <f t="shared" si="15"/>
        <v>75672824</v>
      </c>
      <c r="L88" s="285">
        <f t="shared" si="15"/>
        <v>84384539</v>
      </c>
      <c r="M88" s="285">
        <f t="shared" si="15"/>
        <v>77937164</v>
      </c>
      <c r="N88" s="285">
        <f t="shared" si="15"/>
        <v>19067925</v>
      </c>
      <c r="O88" s="285">
        <f t="shared" si="15"/>
        <v>99655490</v>
      </c>
      <c r="P88" s="285">
        <f t="shared" si="15"/>
        <v>63214459</v>
      </c>
      <c r="Q88" s="285">
        <f t="shared" si="15"/>
        <v>4835985</v>
      </c>
      <c r="R88" s="285">
        <f t="shared" si="15"/>
        <v>138641031</v>
      </c>
      <c r="S88" s="285">
        <f t="shared" si="15"/>
        <v>3583055</v>
      </c>
      <c r="T88" s="285">
        <f t="shared" si="15"/>
        <v>22864804</v>
      </c>
      <c r="U88" s="285">
        <f t="shared" si="15"/>
        <v>24276021</v>
      </c>
      <c r="V88" s="285">
        <f t="shared" si="15"/>
        <v>-93595616</v>
      </c>
      <c r="W88" s="522">
        <f>SUM(C88:V88)</f>
        <v>1548850228.0299997</v>
      </c>
    </row>
    <row r="89" spans="1:25" s="3" customFormat="1" x14ac:dyDescent="0.2">
      <c r="A89" s="30"/>
      <c r="B89" s="286" t="s">
        <v>132</v>
      </c>
      <c r="C89" s="909">
        <f t="shared" ref="C89:W89" si="16">C87-C88</f>
        <v>0</v>
      </c>
      <c r="D89" s="909">
        <f t="shared" si="16"/>
        <v>0</v>
      </c>
      <c r="E89" s="909">
        <f t="shared" si="16"/>
        <v>0</v>
      </c>
      <c r="F89" s="909">
        <f t="shared" si="16"/>
        <v>0</v>
      </c>
      <c r="G89" s="909">
        <f t="shared" si="16"/>
        <v>0</v>
      </c>
      <c r="H89" s="909">
        <f t="shared" si="16"/>
        <v>0</v>
      </c>
      <c r="I89" s="909">
        <f t="shared" si="16"/>
        <v>0</v>
      </c>
      <c r="J89" s="909">
        <f t="shared" si="16"/>
        <v>0</v>
      </c>
      <c r="K89" s="909">
        <f t="shared" si="16"/>
        <v>0</v>
      </c>
      <c r="L89" s="909">
        <f t="shared" si="16"/>
        <v>0</v>
      </c>
      <c r="M89" s="909">
        <f t="shared" si="16"/>
        <v>0</v>
      </c>
      <c r="N89" s="909">
        <f t="shared" si="16"/>
        <v>0</v>
      </c>
      <c r="O89" s="909">
        <f t="shared" si="16"/>
        <v>0</v>
      </c>
      <c r="P89" s="909">
        <f t="shared" si="16"/>
        <v>0</v>
      </c>
      <c r="Q89" s="909">
        <f t="shared" si="16"/>
        <v>0</v>
      </c>
      <c r="R89" s="909">
        <f t="shared" si="16"/>
        <v>0</v>
      </c>
      <c r="S89" s="909">
        <f t="shared" si="16"/>
        <v>0</v>
      </c>
      <c r="T89" s="909">
        <f t="shared" si="16"/>
        <v>0</v>
      </c>
      <c r="U89" s="909">
        <f t="shared" si="16"/>
        <v>0</v>
      </c>
      <c r="V89" s="909">
        <f t="shared" si="16"/>
        <v>0</v>
      </c>
      <c r="W89" s="522">
        <f t="shared" si="16"/>
        <v>0</v>
      </c>
    </row>
    <row r="91" spans="1:25" x14ac:dyDescent="0.2">
      <c r="B91" s="2" t="s">
        <v>307</v>
      </c>
      <c r="C91" s="935"/>
      <c r="D91" s="935"/>
      <c r="E91" s="935"/>
      <c r="F91" s="935"/>
      <c r="G91" s="935"/>
      <c r="H91" s="935"/>
      <c r="I91" s="935"/>
      <c r="J91" s="935"/>
      <c r="K91" s="935"/>
      <c r="L91" s="935"/>
      <c r="M91" s="935"/>
      <c r="N91" s="935"/>
      <c r="O91" s="935"/>
      <c r="P91" s="935"/>
      <c r="Q91" s="935"/>
      <c r="R91" s="935"/>
      <c r="S91" s="935"/>
      <c r="T91" s="935"/>
      <c r="U91" s="935"/>
      <c r="V91" s="935"/>
      <c r="W91" s="905"/>
    </row>
    <row r="92" spans="1:25" x14ac:dyDescent="0.2">
      <c r="A92" s="2">
        <v>100</v>
      </c>
      <c r="B92" s="3" t="s">
        <v>134</v>
      </c>
      <c r="C92" s="935">
        <v>225904693</v>
      </c>
      <c r="D92" s="935">
        <v>0</v>
      </c>
      <c r="E92" s="935">
        <v>0</v>
      </c>
      <c r="F92" s="935">
        <v>0</v>
      </c>
      <c r="G92" s="935">
        <v>0</v>
      </c>
      <c r="H92" s="935">
        <v>0</v>
      </c>
      <c r="I92" s="935">
        <v>0</v>
      </c>
      <c r="J92" s="935">
        <v>0</v>
      </c>
      <c r="K92" s="935">
        <v>0</v>
      </c>
      <c r="L92" s="935">
        <v>515741</v>
      </c>
      <c r="M92" s="935">
        <v>0</v>
      </c>
      <c r="N92" s="935">
        <v>19067925</v>
      </c>
      <c r="O92" s="935">
        <v>0</v>
      </c>
      <c r="P92" s="935">
        <v>0</v>
      </c>
      <c r="Q92" s="935">
        <v>0</v>
      </c>
      <c r="R92" s="935">
        <v>0</v>
      </c>
      <c r="S92" s="935">
        <v>0</v>
      </c>
      <c r="T92" s="935">
        <v>0</v>
      </c>
      <c r="U92" s="935">
        <v>0</v>
      </c>
      <c r="V92" s="935">
        <v>0</v>
      </c>
      <c r="W92" s="935">
        <f t="shared" ref="W92:W123" si="17">SUM(C92:V92)</f>
        <v>245488359</v>
      </c>
    </row>
    <row r="93" spans="1:25" x14ac:dyDescent="0.2">
      <c r="A93" s="2">
        <v>200</v>
      </c>
      <c r="B93" s="3" t="s">
        <v>135</v>
      </c>
      <c r="C93" s="935">
        <v>0</v>
      </c>
      <c r="D93" s="935">
        <v>0</v>
      </c>
      <c r="E93" s="935">
        <v>0</v>
      </c>
      <c r="F93" s="935">
        <v>0</v>
      </c>
      <c r="G93" s="935">
        <v>0</v>
      </c>
      <c r="H93" s="935">
        <v>0</v>
      </c>
      <c r="I93" s="935">
        <v>0</v>
      </c>
      <c r="J93" s="935">
        <v>0</v>
      </c>
      <c r="K93" s="935">
        <v>0</v>
      </c>
      <c r="L93" s="935">
        <v>16811102</v>
      </c>
      <c r="M93" s="935">
        <v>77937164</v>
      </c>
      <c r="N93" s="935">
        <v>0</v>
      </c>
      <c r="O93" s="935">
        <v>0</v>
      </c>
      <c r="P93" s="935">
        <v>0</v>
      </c>
      <c r="Q93" s="935">
        <v>0</v>
      </c>
      <c r="R93" s="935">
        <v>0</v>
      </c>
      <c r="S93" s="935">
        <v>0</v>
      </c>
      <c r="T93" s="935">
        <v>0</v>
      </c>
      <c r="U93" s="935">
        <v>0</v>
      </c>
      <c r="V93" s="935">
        <v>0</v>
      </c>
      <c r="W93" s="935">
        <f t="shared" si="17"/>
        <v>94748266</v>
      </c>
    </row>
    <row r="94" spans="1:25" hidden="1" x14ac:dyDescent="0.2">
      <c r="A94" s="2" t="s">
        <v>10</v>
      </c>
      <c r="B94" s="3" t="s">
        <v>136</v>
      </c>
      <c r="C94" s="935">
        <v>0</v>
      </c>
      <c r="D94" s="935">
        <v>0</v>
      </c>
      <c r="E94" s="935">
        <v>0</v>
      </c>
      <c r="F94" s="935">
        <v>0</v>
      </c>
      <c r="G94" s="935">
        <v>0</v>
      </c>
      <c r="H94" s="935">
        <v>0</v>
      </c>
      <c r="I94" s="935">
        <v>0</v>
      </c>
      <c r="J94" s="935">
        <v>0</v>
      </c>
      <c r="K94" s="935">
        <v>0</v>
      </c>
      <c r="L94" s="935">
        <v>0</v>
      </c>
      <c r="M94" s="935">
        <v>0</v>
      </c>
      <c r="N94" s="935">
        <v>0</v>
      </c>
      <c r="O94" s="935">
        <v>0</v>
      </c>
      <c r="P94" s="935">
        <v>0</v>
      </c>
      <c r="Q94" s="935">
        <v>0</v>
      </c>
      <c r="R94" s="935">
        <v>0</v>
      </c>
      <c r="S94" s="935">
        <v>0</v>
      </c>
      <c r="T94" s="935">
        <v>0</v>
      </c>
      <c r="U94" s="935">
        <v>0</v>
      </c>
      <c r="V94" s="935">
        <v>0</v>
      </c>
      <c r="W94" s="935">
        <f t="shared" si="17"/>
        <v>0</v>
      </c>
    </row>
    <row r="95" spans="1:25" x14ac:dyDescent="0.2">
      <c r="A95" s="2">
        <v>270</v>
      </c>
      <c r="B95" s="3" t="s">
        <v>137</v>
      </c>
      <c r="C95" s="935">
        <v>4957985</v>
      </c>
      <c r="D95" s="935">
        <v>0</v>
      </c>
      <c r="E95" s="935">
        <v>0</v>
      </c>
      <c r="F95" s="935">
        <v>0</v>
      </c>
      <c r="G95" s="935">
        <v>0</v>
      </c>
      <c r="H95" s="935">
        <v>0</v>
      </c>
      <c r="I95" s="935">
        <v>0</v>
      </c>
      <c r="J95" s="935">
        <v>0</v>
      </c>
      <c r="K95" s="935">
        <v>0</v>
      </c>
      <c r="L95" s="935">
        <v>0</v>
      </c>
      <c r="M95" s="935">
        <v>0</v>
      </c>
      <c r="N95" s="935">
        <v>0</v>
      </c>
      <c r="O95" s="935">
        <v>0</v>
      </c>
      <c r="P95" s="935">
        <v>0</v>
      </c>
      <c r="Q95" s="935">
        <v>0</v>
      </c>
      <c r="R95" s="935">
        <v>0</v>
      </c>
      <c r="S95" s="935">
        <v>0</v>
      </c>
      <c r="T95" s="935">
        <v>0</v>
      </c>
      <c r="U95" s="935">
        <v>0</v>
      </c>
      <c r="V95" s="935">
        <v>0</v>
      </c>
      <c r="W95" s="935">
        <f t="shared" si="17"/>
        <v>4957985</v>
      </c>
    </row>
    <row r="96" spans="1:25" hidden="1" x14ac:dyDescent="0.2">
      <c r="A96" s="2" t="s">
        <v>10</v>
      </c>
      <c r="B96" s="3" t="s">
        <v>138</v>
      </c>
      <c r="C96" s="935">
        <v>0</v>
      </c>
      <c r="D96" s="935">
        <v>0</v>
      </c>
      <c r="E96" s="935">
        <v>0</v>
      </c>
      <c r="F96" s="935">
        <v>0</v>
      </c>
      <c r="G96" s="935">
        <v>0</v>
      </c>
      <c r="H96" s="935">
        <v>0</v>
      </c>
      <c r="I96" s="935">
        <v>0</v>
      </c>
      <c r="J96" s="935">
        <v>0</v>
      </c>
      <c r="K96" s="935">
        <v>0</v>
      </c>
      <c r="L96" s="935">
        <v>0</v>
      </c>
      <c r="M96" s="935">
        <v>0</v>
      </c>
      <c r="N96" s="935">
        <v>0</v>
      </c>
      <c r="O96" s="935">
        <v>0</v>
      </c>
      <c r="P96" s="935">
        <v>0</v>
      </c>
      <c r="Q96" s="935">
        <v>0</v>
      </c>
      <c r="R96" s="935">
        <v>0</v>
      </c>
      <c r="S96" s="935">
        <v>0</v>
      </c>
      <c r="T96" s="935">
        <v>0</v>
      </c>
      <c r="U96" s="935">
        <v>0</v>
      </c>
      <c r="V96" s="935">
        <v>0</v>
      </c>
      <c r="W96" s="935">
        <f t="shared" si="17"/>
        <v>0</v>
      </c>
    </row>
    <row r="97" spans="1:23" x14ac:dyDescent="0.2">
      <c r="A97" s="2">
        <v>300</v>
      </c>
      <c r="B97" s="3" t="s">
        <v>139</v>
      </c>
      <c r="C97" s="935">
        <v>5823574</v>
      </c>
      <c r="D97" s="935">
        <v>0</v>
      </c>
      <c r="E97" s="935">
        <v>0</v>
      </c>
      <c r="F97" s="935">
        <v>0</v>
      </c>
      <c r="G97" s="935">
        <v>0</v>
      </c>
      <c r="H97" s="935">
        <v>0</v>
      </c>
      <c r="I97" s="935">
        <v>0</v>
      </c>
      <c r="J97" s="935">
        <v>0</v>
      </c>
      <c r="K97" s="935">
        <v>0</v>
      </c>
      <c r="L97" s="935">
        <v>3657997</v>
      </c>
      <c r="M97" s="935">
        <v>0</v>
      </c>
      <c r="N97" s="935">
        <v>0</v>
      </c>
      <c r="O97" s="935">
        <v>0</v>
      </c>
      <c r="P97" s="935">
        <v>0</v>
      </c>
      <c r="Q97" s="935">
        <v>0</v>
      </c>
      <c r="R97" s="935">
        <v>0</v>
      </c>
      <c r="S97" s="935">
        <v>0</v>
      </c>
      <c r="T97" s="935">
        <v>0</v>
      </c>
      <c r="U97" s="935">
        <v>0</v>
      </c>
      <c r="V97" s="935">
        <v>0</v>
      </c>
      <c r="W97" s="935">
        <f t="shared" si="17"/>
        <v>9481571</v>
      </c>
    </row>
    <row r="98" spans="1:23" x14ac:dyDescent="0.2">
      <c r="A98" s="2">
        <v>400</v>
      </c>
      <c r="B98" s="3" t="s">
        <v>140</v>
      </c>
      <c r="C98" s="935">
        <v>0</v>
      </c>
      <c r="D98" s="935">
        <v>0</v>
      </c>
      <c r="E98" s="935">
        <v>0</v>
      </c>
      <c r="F98" s="935">
        <v>0</v>
      </c>
      <c r="G98" s="935">
        <v>0</v>
      </c>
      <c r="H98" s="935">
        <v>0</v>
      </c>
      <c r="I98" s="935">
        <v>0</v>
      </c>
      <c r="J98" s="935">
        <v>0</v>
      </c>
      <c r="K98" s="935">
        <v>0</v>
      </c>
      <c r="L98" s="935">
        <v>56974009</v>
      </c>
      <c r="M98" s="935">
        <v>0</v>
      </c>
      <c r="N98" s="935">
        <v>0</v>
      </c>
      <c r="O98" s="935">
        <v>0</v>
      </c>
      <c r="P98" s="935">
        <v>0</v>
      </c>
      <c r="Q98" s="935">
        <v>0</v>
      </c>
      <c r="R98" s="935">
        <v>0</v>
      </c>
      <c r="S98" s="935">
        <v>0</v>
      </c>
      <c r="T98" s="935">
        <v>0</v>
      </c>
      <c r="U98" s="935">
        <v>0</v>
      </c>
      <c r="V98" s="935">
        <v>0</v>
      </c>
      <c r="W98" s="935">
        <f t="shared" si="17"/>
        <v>56974009</v>
      </c>
    </row>
    <row r="99" spans="1:23" x14ac:dyDescent="0.2">
      <c r="A99" s="2" t="s">
        <v>10</v>
      </c>
      <c r="B99" s="3" t="s">
        <v>141</v>
      </c>
      <c r="C99" s="935">
        <f>12843862+335</f>
        <v>12844197</v>
      </c>
      <c r="D99" s="935">
        <v>0</v>
      </c>
      <c r="E99" s="935">
        <v>0</v>
      </c>
      <c r="F99" s="935">
        <v>0</v>
      </c>
      <c r="G99" s="935">
        <v>0</v>
      </c>
      <c r="H99" s="935">
        <v>0</v>
      </c>
      <c r="I99" s="935">
        <v>0</v>
      </c>
      <c r="J99" s="935">
        <v>0</v>
      </c>
      <c r="K99" s="935">
        <v>0</v>
      </c>
      <c r="L99" s="935">
        <v>0</v>
      </c>
      <c r="M99" s="935">
        <v>0</v>
      </c>
      <c r="N99" s="935">
        <v>0</v>
      </c>
      <c r="O99" s="935">
        <v>0</v>
      </c>
      <c r="P99" s="935">
        <v>0</v>
      </c>
      <c r="Q99" s="935">
        <v>0</v>
      </c>
      <c r="R99" s="935">
        <v>0</v>
      </c>
      <c r="S99" s="935">
        <v>0</v>
      </c>
      <c r="T99" s="935">
        <v>0</v>
      </c>
      <c r="U99" s="935">
        <v>0</v>
      </c>
      <c r="V99" s="935">
        <v>0</v>
      </c>
      <c r="W99" s="935">
        <f t="shared" si="17"/>
        <v>12844197</v>
      </c>
    </row>
    <row r="100" spans="1:23" hidden="1" x14ac:dyDescent="0.2">
      <c r="A100" s="2" t="s">
        <v>10</v>
      </c>
      <c r="B100" s="3" t="s">
        <v>142</v>
      </c>
      <c r="C100" s="935">
        <v>0</v>
      </c>
      <c r="D100" s="935">
        <v>0</v>
      </c>
      <c r="E100" s="935">
        <v>0</v>
      </c>
      <c r="F100" s="935">
        <v>0</v>
      </c>
      <c r="G100" s="935">
        <v>0</v>
      </c>
      <c r="H100" s="935">
        <v>0</v>
      </c>
      <c r="I100" s="935">
        <v>0</v>
      </c>
      <c r="J100" s="935">
        <v>0</v>
      </c>
      <c r="K100" s="935">
        <v>0</v>
      </c>
      <c r="L100" s="935">
        <v>0</v>
      </c>
      <c r="M100" s="935">
        <v>0</v>
      </c>
      <c r="N100" s="935">
        <v>0</v>
      </c>
      <c r="O100" s="935">
        <v>0</v>
      </c>
      <c r="P100" s="935">
        <v>0</v>
      </c>
      <c r="Q100" s="935">
        <v>0</v>
      </c>
      <c r="R100" s="935">
        <v>0</v>
      </c>
      <c r="S100" s="935">
        <v>0</v>
      </c>
      <c r="T100" s="935">
        <v>0</v>
      </c>
      <c r="U100" s="935">
        <v>0</v>
      </c>
      <c r="V100" s="935">
        <v>0</v>
      </c>
      <c r="W100" s="935">
        <f t="shared" si="17"/>
        <v>0</v>
      </c>
    </row>
    <row r="101" spans="1:23" hidden="1" x14ac:dyDescent="0.2">
      <c r="A101" s="2">
        <v>430</v>
      </c>
      <c r="B101" s="3" t="s">
        <v>548</v>
      </c>
      <c r="C101" s="935">
        <v>0</v>
      </c>
      <c r="D101" s="935">
        <v>0</v>
      </c>
      <c r="E101" s="935">
        <v>0</v>
      </c>
      <c r="F101" s="935">
        <v>0</v>
      </c>
      <c r="G101" s="935">
        <v>0</v>
      </c>
      <c r="H101" s="935">
        <v>0</v>
      </c>
      <c r="I101" s="935">
        <v>0</v>
      </c>
      <c r="J101" s="935">
        <v>0</v>
      </c>
      <c r="K101" s="935">
        <v>0</v>
      </c>
      <c r="L101" s="935">
        <v>0</v>
      </c>
      <c r="M101" s="935">
        <v>0</v>
      </c>
      <c r="N101" s="935">
        <v>0</v>
      </c>
      <c r="O101" s="935">
        <v>0</v>
      </c>
      <c r="P101" s="935">
        <v>0</v>
      </c>
      <c r="Q101" s="935">
        <v>0</v>
      </c>
      <c r="R101" s="935">
        <v>0</v>
      </c>
      <c r="S101" s="935">
        <v>0</v>
      </c>
      <c r="T101" s="935">
        <v>0</v>
      </c>
      <c r="U101" s="935">
        <v>0</v>
      </c>
      <c r="V101" s="935">
        <v>0</v>
      </c>
      <c r="W101" s="935">
        <f t="shared" si="17"/>
        <v>0</v>
      </c>
    </row>
    <row r="102" spans="1:23" x14ac:dyDescent="0.2">
      <c r="A102" s="2">
        <v>440</v>
      </c>
      <c r="B102" s="3" t="s">
        <v>143</v>
      </c>
      <c r="C102" s="935">
        <v>267822</v>
      </c>
      <c r="D102" s="935">
        <v>0</v>
      </c>
      <c r="E102" s="935">
        <v>0</v>
      </c>
      <c r="F102" s="935">
        <v>0</v>
      </c>
      <c r="G102" s="935">
        <v>0</v>
      </c>
      <c r="H102" s="935">
        <v>0</v>
      </c>
      <c r="I102" s="935">
        <v>0</v>
      </c>
      <c r="J102" s="935">
        <v>0</v>
      </c>
      <c r="K102" s="935">
        <v>0</v>
      </c>
      <c r="L102" s="935">
        <v>0</v>
      </c>
      <c r="M102" s="935">
        <v>0</v>
      </c>
      <c r="N102" s="935">
        <v>0</v>
      </c>
      <c r="O102" s="935">
        <v>0</v>
      </c>
      <c r="P102" s="935">
        <v>0</v>
      </c>
      <c r="Q102" s="935">
        <v>0</v>
      </c>
      <c r="R102" s="935">
        <v>0</v>
      </c>
      <c r="S102" s="935">
        <v>0</v>
      </c>
      <c r="T102" s="935">
        <v>0</v>
      </c>
      <c r="U102" s="935">
        <v>0</v>
      </c>
      <c r="V102" s="935">
        <v>0</v>
      </c>
      <c r="W102" s="935">
        <f t="shared" si="17"/>
        <v>267822</v>
      </c>
    </row>
    <row r="103" spans="1:23" ht="12" customHeight="1" x14ac:dyDescent="0.2">
      <c r="A103" s="2">
        <v>470</v>
      </c>
      <c r="B103" s="3" t="s">
        <v>752</v>
      </c>
      <c r="C103" s="935">
        <v>479428</v>
      </c>
      <c r="D103" s="935">
        <v>0</v>
      </c>
      <c r="E103" s="935">
        <v>0</v>
      </c>
      <c r="F103" s="935">
        <v>0</v>
      </c>
      <c r="G103" s="935">
        <v>0</v>
      </c>
      <c r="H103" s="935">
        <v>0</v>
      </c>
      <c r="I103" s="935">
        <v>0</v>
      </c>
      <c r="J103" s="935">
        <v>0</v>
      </c>
      <c r="K103" s="935">
        <v>0</v>
      </c>
      <c r="L103" s="935">
        <v>0</v>
      </c>
      <c r="M103" s="935">
        <v>0</v>
      </c>
      <c r="N103" s="935">
        <v>0</v>
      </c>
      <c r="O103" s="935">
        <v>0</v>
      </c>
      <c r="P103" s="935">
        <v>0</v>
      </c>
      <c r="Q103" s="935">
        <v>0</v>
      </c>
      <c r="R103" s="935">
        <v>0</v>
      </c>
      <c r="S103" s="935">
        <v>0</v>
      </c>
      <c r="T103" s="935">
        <v>0</v>
      </c>
      <c r="U103" s="935">
        <v>0</v>
      </c>
      <c r="V103" s="935">
        <v>0</v>
      </c>
      <c r="W103" s="935">
        <f t="shared" si="17"/>
        <v>479428</v>
      </c>
    </row>
    <row r="104" spans="1:23" hidden="1" x14ac:dyDescent="0.2">
      <c r="A104" s="2">
        <v>500</v>
      </c>
      <c r="B104" s="3" t="s">
        <v>144</v>
      </c>
      <c r="C104" s="935">
        <v>0</v>
      </c>
      <c r="D104" s="935">
        <v>0</v>
      </c>
      <c r="E104" s="935">
        <v>0</v>
      </c>
      <c r="F104" s="935">
        <v>0</v>
      </c>
      <c r="G104" s="935">
        <v>0</v>
      </c>
      <c r="H104" s="935">
        <v>0</v>
      </c>
      <c r="I104" s="935">
        <v>0</v>
      </c>
      <c r="J104" s="935">
        <v>0</v>
      </c>
      <c r="K104" s="935">
        <v>0</v>
      </c>
      <c r="L104" s="935">
        <v>0</v>
      </c>
      <c r="M104" s="935">
        <v>0</v>
      </c>
      <c r="N104" s="935">
        <v>0</v>
      </c>
      <c r="O104" s="935">
        <v>0</v>
      </c>
      <c r="P104" s="935">
        <v>0</v>
      </c>
      <c r="Q104" s="935">
        <v>0</v>
      </c>
      <c r="R104" s="935">
        <v>0</v>
      </c>
      <c r="S104" s="935">
        <v>0</v>
      </c>
      <c r="T104" s="935">
        <v>0</v>
      </c>
      <c r="U104" s="935">
        <v>0</v>
      </c>
      <c r="V104" s="935">
        <v>0</v>
      </c>
      <c r="W104" s="935">
        <f t="shared" si="17"/>
        <v>0</v>
      </c>
    </row>
    <row r="105" spans="1:23" x14ac:dyDescent="0.2">
      <c r="A105" s="2">
        <v>600</v>
      </c>
      <c r="B105" s="3" t="s">
        <v>145</v>
      </c>
      <c r="C105" s="935">
        <v>0</v>
      </c>
      <c r="D105" s="935">
        <v>0</v>
      </c>
      <c r="E105" s="935">
        <v>0</v>
      </c>
      <c r="F105" s="935">
        <v>0</v>
      </c>
      <c r="G105" s="935">
        <v>0</v>
      </c>
      <c r="H105" s="935">
        <v>0</v>
      </c>
      <c r="I105" s="935">
        <v>0</v>
      </c>
      <c r="J105" s="935">
        <v>0</v>
      </c>
      <c r="K105" s="935">
        <v>0</v>
      </c>
      <c r="L105" s="935">
        <v>1508529</v>
      </c>
      <c r="M105" s="935">
        <v>0</v>
      </c>
      <c r="N105" s="935">
        <v>0</v>
      </c>
      <c r="O105" s="935">
        <v>0</v>
      </c>
      <c r="P105" s="935">
        <v>0</v>
      </c>
      <c r="Q105" s="935">
        <v>0</v>
      </c>
      <c r="R105" s="935">
        <v>0</v>
      </c>
      <c r="S105" s="935">
        <v>0</v>
      </c>
      <c r="T105" s="935">
        <v>0</v>
      </c>
      <c r="U105" s="935">
        <v>0</v>
      </c>
      <c r="V105" s="935">
        <v>0</v>
      </c>
      <c r="W105" s="935">
        <f t="shared" si="17"/>
        <v>1508529</v>
      </c>
    </row>
    <row r="106" spans="1:23" x14ac:dyDescent="0.2">
      <c r="A106" s="2">
        <v>800</v>
      </c>
      <c r="B106" s="3" t="s">
        <v>146</v>
      </c>
      <c r="C106" s="935">
        <v>0</v>
      </c>
      <c r="D106" s="935">
        <v>0</v>
      </c>
      <c r="E106" s="935">
        <v>0</v>
      </c>
      <c r="F106" s="935">
        <v>0</v>
      </c>
      <c r="G106" s="935">
        <v>0</v>
      </c>
      <c r="H106" s="935">
        <v>0</v>
      </c>
      <c r="I106" s="935">
        <v>0</v>
      </c>
      <c r="J106" s="935">
        <v>0</v>
      </c>
      <c r="K106" s="935">
        <v>0</v>
      </c>
      <c r="L106" s="935">
        <v>732424</v>
      </c>
      <c r="M106" s="935">
        <v>0</v>
      </c>
      <c r="N106" s="935">
        <v>0</v>
      </c>
      <c r="O106" s="935">
        <v>0</v>
      </c>
      <c r="P106" s="935">
        <v>0</v>
      </c>
      <c r="Q106" s="935">
        <v>0</v>
      </c>
      <c r="R106" s="935">
        <v>0</v>
      </c>
      <c r="S106" s="935">
        <v>0</v>
      </c>
      <c r="T106" s="935">
        <v>0</v>
      </c>
      <c r="U106" s="935">
        <v>0</v>
      </c>
      <c r="V106" s="935">
        <v>0</v>
      </c>
      <c r="W106" s="935">
        <f t="shared" si="17"/>
        <v>732424</v>
      </c>
    </row>
    <row r="107" spans="1:23" x14ac:dyDescent="0.2">
      <c r="A107" s="2">
        <v>910</v>
      </c>
      <c r="B107" s="3" t="s">
        <v>147</v>
      </c>
      <c r="C107" s="935">
        <v>967947.5</v>
      </c>
      <c r="D107" s="935">
        <v>0</v>
      </c>
      <c r="E107" s="935">
        <v>0</v>
      </c>
      <c r="F107" s="935">
        <v>0</v>
      </c>
      <c r="G107" s="935">
        <v>0</v>
      </c>
      <c r="H107" s="935">
        <v>0</v>
      </c>
      <c r="I107" s="935">
        <v>0</v>
      </c>
      <c r="J107" s="935">
        <v>0</v>
      </c>
      <c r="K107" s="935">
        <v>0</v>
      </c>
      <c r="L107" s="935">
        <v>0</v>
      </c>
      <c r="M107" s="935">
        <v>0</v>
      </c>
      <c r="N107" s="935">
        <v>0</v>
      </c>
      <c r="O107" s="935">
        <v>0</v>
      </c>
      <c r="P107" s="935">
        <v>0</v>
      </c>
      <c r="Q107" s="935">
        <v>0</v>
      </c>
      <c r="R107" s="935">
        <v>0</v>
      </c>
      <c r="S107" s="935">
        <v>0</v>
      </c>
      <c r="T107" s="935">
        <v>0</v>
      </c>
      <c r="U107" s="935">
        <v>0</v>
      </c>
      <c r="V107" s="935">
        <v>0</v>
      </c>
      <c r="W107" s="935">
        <f t="shared" si="17"/>
        <v>967947.5</v>
      </c>
    </row>
    <row r="108" spans="1:23" x14ac:dyDescent="0.2">
      <c r="A108" s="2">
        <v>920</v>
      </c>
      <c r="B108" s="3" t="s">
        <v>148</v>
      </c>
      <c r="C108" s="935">
        <f>3545264+7624.5</f>
        <v>3552888.5</v>
      </c>
      <c r="D108" s="935">
        <v>0</v>
      </c>
      <c r="E108" s="935">
        <v>0</v>
      </c>
      <c r="F108" s="935">
        <v>0</v>
      </c>
      <c r="G108" s="935">
        <v>0</v>
      </c>
      <c r="H108" s="935">
        <v>0</v>
      </c>
      <c r="I108" s="935">
        <v>0</v>
      </c>
      <c r="J108" s="935">
        <v>0</v>
      </c>
      <c r="K108" s="935">
        <v>0</v>
      </c>
      <c r="L108" s="935">
        <v>0</v>
      </c>
      <c r="M108" s="935">
        <v>0</v>
      </c>
      <c r="N108" s="935">
        <v>0</v>
      </c>
      <c r="O108" s="935">
        <v>0</v>
      </c>
      <c r="P108" s="935">
        <v>0</v>
      </c>
      <c r="Q108" s="935">
        <v>0</v>
      </c>
      <c r="R108" s="935">
        <v>0</v>
      </c>
      <c r="S108" s="935">
        <v>0</v>
      </c>
      <c r="T108" s="935">
        <v>0</v>
      </c>
      <c r="U108" s="935">
        <v>0</v>
      </c>
      <c r="V108" s="935">
        <v>0</v>
      </c>
      <c r="W108" s="935">
        <f t="shared" si="17"/>
        <v>3552888.5</v>
      </c>
    </row>
    <row r="109" spans="1:23" x14ac:dyDescent="0.2">
      <c r="C109" s="935"/>
      <c r="D109" s="935"/>
      <c r="E109" s="935"/>
      <c r="F109" s="935"/>
      <c r="G109" s="935"/>
      <c r="H109" s="935"/>
      <c r="I109" s="935"/>
      <c r="J109" s="935"/>
      <c r="K109" s="935"/>
      <c r="L109" s="935"/>
      <c r="M109" s="935"/>
      <c r="N109" s="935"/>
      <c r="O109" s="935"/>
      <c r="P109" s="935"/>
      <c r="Q109" s="935"/>
      <c r="R109" s="935"/>
      <c r="S109" s="935"/>
      <c r="T109" s="935"/>
      <c r="U109" s="935"/>
      <c r="V109" s="935"/>
      <c r="W109" s="935"/>
    </row>
    <row r="110" spans="1:23" x14ac:dyDescent="0.2">
      <c r="A110" s="2" t="s">
        <v>149</v>
      </c>
      <c r="B110" s="2" t="s">
        <v>150</v>
      </c>
      <c r="C110" s="935"/>
      <c r="D110" s="935"/>
      <c r="E110" s="935"/>
      <c r="F110" s="935"/>
      <c r="G110" s="935"/>
      <c r="H110" s="935"/>
      <c r="I110" s="935"/>
      <c r="J110" s="935"/>
      <c r="K110" s="935"/>
      <c r="L110" s="935"/>
      <c r="M110" s="935"/>
      <c r="N110" s="935"/>
      <c r="O110" s="935"/>
      <c r="P110" s="935"/>
      <c r="Q110" s="935"/>
      <c r="R110" s="935"/>
      <c r="S110" s="935"/>
      <c r="T110" s="935"/>
      <c r="U110" s="935"/>
      <c r="V110" s="935"/>
      <c r="W110" s="935">
        <f t="shared" si="17"/>
        <v>0</v>
      </c>
    </row>
    <row r="111" spans="1:23" x14ac:dyDescent="0.2">
      <c r="A111" s="2">
        <v>1000</v>
      </c>
      <c r="B111" s="3" t="s">
        <v>753</v>
      </c>
      <c r="C111" s="935">
        <v>0</v>
      </c>
      <c r="D111" s="935">
        <v>0</v>
      </c>
      <c r="E111" s="935">
        <v>0</v>
      </c>
      <c r="F111" s="935">
        <v>0</v>
      </c>
      <c r="G111" s="935">
        <v>0</v>
      </c>
      <c r="H111" s="935">
        <v>0</v>
      </c>
      <c r="I111" s="935">
        <v>0</v>
      </c>
      <c r="J111" s="935">
        <v>0</v>
      </c>
      <c r="K111" s="935">
        <v>0</v>
      </c>
      <c r="L111" s="935">
        <v>17079</v>
      </c>
      <c r="M111" s="935">
        <v>0</v>
      </c>
      <c r="N111" s="935">
        <v>0</v>
      </c>
      <c r="O111" s="935">
        <v>0</v>
      </c>
      <c r="P111" s="935">
        <v>0</v>
      </c>
      <c r="Q111" s="935">
        <v>0</v>
      </c>
      <c r="R111" s="935">
        <v>0</v>
      </c>
      <c r="S111" s="935">
        <v>0</v>
      </c>
      <c r="T111" s="935">
        <v>0</v>
      </c>
      <c r="U111" s="935">
        <v>0</v>
      </c>
      <c r="V111" s="935">
        <v>0</v>
      </c>
      <c r="W111" s="935">
        <f t="shared" si="17"/>
        <v>17079</v>
      </c>
    </row>
    <row r="112" spans="1:23" x14ac:dyDescent="0.2">
      <c r="A112" s="2">
        <v>2100</v>
      </c>
      <c r="B112" s="3" t="s">
        <v>151</v>
      </c>
      <c r="C112" s="935">
        <v>34627224.5</v>
      </c>
      <c r="D112" s="935">
        <v>0</v>
      </c>
      <c r="E112" s="935">
        <v>0</v>
      </c>
      <c r="F112" s="935">
        <v>0</v>
      </c>
      <c r="G112" s="935">
        <v>0</v>
      </c>
      <c r="H112" s="935">
        <v>0</v>
      </c>
      <c r="I112" s="935">
        <v>0</v>
      </c>
      <c r="J112" s="935">
        <v>0</v>
      </c>
      <c r="K112" s="935">
        <v>0</v>
      </c>
      <c r="L112" s="935">
        <v>738267</v>
      </c>
      <c r="M112" s="935">
        <v>0</v>
      </c>
      <c r="N112" s="935">
        <v>0</v>
      </c>
      <c r="O112" s="935">
        <v>0</v>
      </c>
      <c r="P112" s="935">
        <v>0</v>
      </c>
      <c r="Q112" s="935">
        <v>0</v>
      </c>
      <c r="R112" s="935">
        <v>0</v>
      </c>
      <c r="S112" s="935">
        <v>0</v>
      </c>
      <c r="T112" s="935">
        <v>0</v>
      </c>
      <c r="U112" s="935">
        <v>0</v>
      </c>
      <c r="V112" s="935">
        <v>0</v>
      </c>
      <c r="W112" s="935">
        <f t="shared" si="17"/>
        <v>35365491.5</v>
      </c>
    </row>
    <row r="113" spans="1:23" x14ac:dyDescent="0.2">
      <c r="A113" s="2">
        <v>2200</v>
      </c>
      <c r="B113" s="3" t="s">
        <v>152</v>
      </c>
      <c r="C113" s="935">
        <v>15730669</v>
      </c>
      <c r="D113" s="935">
        <v>0</v>
      </c>
      <c r="E113" s="935">
        <v>0</v>
      </c>
      <c r="F113" s="935">
        <v>0</v>
      </c>
      <c r="G113" s="935">
        <v>0</v>
      </c>
      <c r="H113" s="935">
        <v>0</v>
      </c>
      <c r="I113" s="935">
        <v>0</v>
      </c>
      <c r="J113" s="935">
        <v>0</v>
      </c>
      <c r="K113" s="935">
        <v>0</v>
      </c>
      <c r="L113" s="935">
        <v>62595</v>
      </c>
      <c r="M113" s="935">
        <v>0</v>
      </c>
      <c r="N113" s="935">
        <v>0</v>
      </c>
      <c r="O113" s="935">
        <v>0</v>
      </c>
      <c r="P113" s="935">
        <v>0</v>
      </c>
      <c r="Q113" s="935">
        <v>0</v>
      </c>
      <c r="R113" s="935">
        <v>0</v>
      </c>
      <c r="S113" s="935">
        <v>0</v>
      </c>
      <c r="T113" s="935">
        <v>0</v>
      </c>
      <c r="U113" s="935">
        <v>0</v>
      </c>
      <c r="V113" s="935">
        <v>0</v>
      </c>
      <c r="W113" s="935">
        <f t="shared" si="17"/>
        <v>15793264</v>
      </c>
    </row>
    <row r="114" spans="1:23" x14ac:dyDescent="0.2">
      <c r="A114" s="2">
        <v>2300</v>
      </c>
      <c r="B114" s="3" t="s">
        <v>153</v>
      </c>
      <c r="C114" s="935">
        <v>6370038</v>
      </c>
      <c r="D114" s="935">
        <v>0</v>
      </c>
      <c r="E114" s="935">
        <v>0</v>
      </c>
      <c r="F114" s="935">
        <v>0</v>
      </c>
      <c r="G114" s="935">
        <v>0</v>
      </c>
      <c r="H114" s="935">
        <v>0</v>
      </c>
      <c r="I114" s="935">
        <v>0</v>
      </c>
      <c r="J114" s="935">
        <v>0</v>
      </c>
      <c r="K114" s="935">
        <v>0</v>
      </c>
      <c r="L114" s="935">
        <v>813744</v>
      </c>
      <c r="M114" s="935">
        <v>0</v>
      </c>
      <c r="N114" s="935">
        <v>0</v>
      </c>
      <c r="O114" s="935">
        <v>0</v>
      </c>
      <c r="P114" s="935">
        <v>0</v>
      </c>
      <c r="Q114" s="935">
        <v>0</v>
      </c>
      <c r="R114" s="935">
        <v>0</v>
      </c>
      <c r="S114" s="935">
        <v>0</v>
      </c>
      <c r="T114" s="935">
        <v>0</v>
      </c>
      <c r="U114" s="935">
        <v>0</v>
      </c>
      <c r="V114" s="935">
        <v>0</v>
      </c>
      <c r="W114" s="935">
        <f t="shared" si="17"/>
        <v>7183782</v>
      </c>
    </row>
    <row r="115" spans="1:23" x14ac:dyDescent="0.2">
      <c r="A115" s="2">
        <v>2400</v>
      </c>
      <c r="B115" s="3" t="s">
        <v>154</v>
      </c>
      <c r="C115" s="935">
        <v>39718911.5</v>
      </c>
      <c r="D115" s="935">
        <v>0</v>
      </c>
      <c r="E115" s="935">
        <v>0</v>
      </c>
      <c r="F115" s="935">
        <v>0</v>
      </c>
      <c r="G115" s="935">
        <v>0</v>
      </c>
      <c r="H115" s="935">
        <v>0</v>
      </c>
      <c r="I115" s="935">
        <v>0</v>
      </c>
      <c r="J115" s="935">
        <v>0</v>
      </c>
      <c r="K115" s="935">
        <v>0</v>
      </c>
      <c r="L115" s="935">
        <v>0</v>
      </c>
      <c r="M115" s="935">
        <v>0</v>
      </c>
      <c r="N115" s="935">
        <v>0</v>
      </c>
      <c r="O115" s="935">
        <v>0</v>
      </c>
      <c r="P115" s="935">
        <v>0</v>
      </c>
      <c r="Q115" s="935">
        <v>0</v>
      </c>
      <c r="R115" s="935">
        <v>0</v>
      </c>
      <c r="S115" s="935">
        <v>0</v>
      </c>
      <c r="T115" s="935">
        <v>0</v>
      </c>
      <c r="U115" s="935">
        <v>0</v>
      </c>
      <c r="V115" s="935">
        <v>0</v>
      </c>
      <c r="W115" s="935">
        <f t="shared" si="17"/>
        <v>39718911.5</v>
      </c>
    </row>
    <row r="116" spans="1:23" x14ac:dyDescent="0.2">
      <c r="A116" s="2">
        <v>2500</v>
      </c>
      <c r="B116" s="3" t="s">
        <v>155</v>
      </c>
      <c r="C116" s="935">
        <v>25376142</v>
      </c>
      <c r="D116" s="935">
        <v>0</v>
      </c>
      <c r="E116" s="935">
        <v>0</v>
      </c>
      <c r="F116" s="935">
        <v>3420000</v>
      </c>
      <c r="G116" s="935">
        <v>0</v>
      </c>
      <c r="H116" s="935">
        <v>0</v>
      </c>
      <c r="I116" s="935">
        <v>185417</v>
      </c>
      <c r="J116" s="935">
        <v>1199404.69</v>
      </c>
      <c r="K116" s="935">
        <v>3965000</v>
      </c>
      <c r="L116" s="935">
        <v>668775</v>
      </c>
      <c r="M116" s="935">
        <v>0</v>
      </c>
      <c r="N116" s="935">
        <v>0</v>
      </c>
      <c r="O116" s="935">
        <v>0</v>
      </c>
      <c r="P116" s="935">
        <v>0</v>
      </c>
      <c r="Q116" s="935">
        <v>0</v>
      </c>
      <c r="R116" s="935">
        <v>0</v>
      </c>
      <c r="S116" s="935">
        <v>0</v>
      </c>
      <c r="T116" s="935">
        <v>0</v>
      </c>
      <c r="U116" s="935">
        <v>0</v>
      </c>
      <c r="V116" s="935">
        <v>0</v>
      </c>
      <c r="W116" s="935">
        <f t="shared" si="17"/>
        <v>34814738.689999998</v>
      </c>
    </row>
    <row r="117" spans="1:23" x14ac:dyDescent="0.2">
      <c r="A117" s="2">
        <v>2600</v>
      </c>
      <c r="B117" s="3" t="s">
        <v>156</v>
      </c>
      <c r="C117" s="935">
        <v>52233481</v>
      </c>
      <c r="D117" s="935">
        <v>0</v>
      </c>
      <c r="E117" s="935">
        <v>0</v>
      </c>
      <c r="F117" s="935">
        <v>0</v>
      </c>
      <c r="G117" s="935">
        <v>0</v>
      </c>
      <c r="H117" s="935">
        <v>566401.66</v>
      </c>
      <c r="I117" s="935">
        <v>60000</v>
      </c>
      <c r="J117" s="935">
        <v>0</v>
      </c>
      <c r="K117" s="935">
        <v>0</v>
      </c>
      <c r="L117" s="935">
        <v>25381</v>
      </c>
      <c r="M117" s="935">
        <v>0</v>
      </c>
      <c r="N117" s="935">
        <v>0</v>
      </c>
      <c r="O117" s="935">
        <v>0</v>
      </c>
      <c r="P117" s="935">
        <v>0</v>
      </c>
      <c r="Q117" s="935">
        <v>0</v>
      </c>
      <c r="R117" s="935">
        <v>0</v>
      </c>
      <c r="S117" s="935">
        <v>0</v>
      </c>
      <c r="T117" s="935">
        <v>0</v>
      </c>
      <c r="U117" s="935">
        <v>0</v>
      </c>
      <c r="V117" s="935">
        <v>0</v>
      </c>
      <c r="W117" s="935">
        <f t="shared" si="17"/>
        <v>52885263.659999996</v>
      </c>
    </row>
    <row r="118" spans="1:23" x14ac:dyDescent="0.2">
      <c r="A118" s="2">
        <v>2700</v>
      </c>
      <c r="B118" s="3" t="s">
        <v>157</v>
      </c>
      <c r="C118" s="935">
        <v>16512414</v>
      </c>
      <c r="D118" s="935">
        <v>0</v>
      </c>
      <c r="E118" s="935">
        <v>0</v>
      </c>
      <c r="F118" s="935">
        <v>0</v>
      </c>
      <c r="G118" s="935">
        <v>0</v>
      </c>
      <c r="H118" s="935">
        <v>0</v>
      </c>
      <c r="I118" s="935">
        <v>2557890.77</v>
      </c>
      <c r="J118" s="935">
        <v>0</v>
      </c>
      <c r="K118" s="935">
        <v>0</v>
      </c>
      <c r="L118" s="935">
        <v>0</v>
      </c>
      <c r="M118" s="935">
        <v>0</v>
      </c>
      <c r="N118" s="935">
        <v>0</v>
      </c>
      <c r="O118" s="935">
        <v>0</v>
      </c>
      <c r="P118" s="935">
        <v>0</v>
      </c>
      <c r="Q118" s="935">
        <v>0</v>
      </c>
      <c r="R118" s="935">
        <v>0</v>
      </c>
      <c r="S118" s="935">
        <v>0</v>
      </c>
      <c r="T118" s="935">
        <v>0</v>
      </c>
      <c r="U118" s="935">
        <v>0</v>
      </c>
      <c r="V118" s="935">
        <v>0</v>
      </c>
      <c r="W118" s="935">
        <f t="shared" si="17"/>
        <v>19070304.77</v>
      </c>
    </row>
    <row r="119" spans="1:23" hidden="1" x14ac:dyDescent="0.2">
      <c r="A119" s="2">
        <v>2900</v>
      </c>
      <c r="B119" s="3" t="s">
        <v>158</v>
      </c>
      <c r="C119" s="935">
        <v>0</v>
      </c>
      <c r="D119" s="935">
        <v>0</v>
      </c>
      <c r="E119" s="935">
        <v>0</v>
      </c>
      <c r="F119" s="935">
        <v>0</v>
      </c>
      <c r="G119" s="935">
        <v>0</v>
      </c>
      <c r="H119" s="935">
        <v>0</v>
      </c>
      <c r="I119" s="935">
        <v>0</v>
      </c>
      <c r="J119" s="935">
        <v>0</v>
      </c>
      <c r="K119" s="935">
        <v>0</v>
      </c>
      <c r="L119" s="935">
        <v>0</v>
      </c>
      <c r="M119" s="935">
        <v>0</v>
      </c>
      <c r="N119" s="935">
        <v>0</v>
      </c>
      <c r="O119" s="935">
        <v>0</v>
      </c>
      <c r="P119" s="935">
        <v>0</v>
      </c>
      <c r="Q119" s="935">
        <v>0</v>
      </c>
      <c r="R119" s="935">
        <v>0</v>
      </c>
      <c r="S119" s="935">
        <v>0</v>
      </c>
      <c r="T119" s="935">
        <v>0</v>
      </c>
      <c r="U119" s="935">
        <v>0</v>
      </c>
      <c r="V119" s="935">
        <v>0</v>
      </c>
      <c r="W119" s="935">
        <f t="shared" si="17"/>
        <v>0</v>
      </c>
    </row>
    <row r="120" spans="1:23" hidden="1" x14ac:dyDescent="0.2">
      <c r="A120" s="2">
        <v>3000</v>
      </c>
      <c r="B120" s="3" t="s">
        <v>159</v>
      </c>
      <c r="C120" s="935">
        <v>0</v>
      </c>
      <c r="D120" s="935">
        <v>0</v>
      </c>
      <c r="E120" s="935">
        <v>0</v>
      </c>
      <c r="F120" s="935">
        <v>0</v>
      </c>
      <c r="G120" s="935">
        <v>0</v>
      </c>
      <c r="H120" s="935">
        <v>0</v>
      </c>
      <c r="I120" s="935">
        <v>0</v>
      </c>
      <c r="J120" s="935">
        <v>0</v>
      </c>
      <c r="K120" s="935">
        <v>0</v>
      </c>
      <c r="L120" s="935">
        <v>0</v>
      </c>
      <c r="M120" s="935">
        <v>0</v>
      </c>
      <c r="N120" s="935">
        <v>0</v>
      </c>
      <c r="O120" s="935">
        <v>0</v>
      </c>
      <c r="P120" s="935">
        <v>0</v>
      </c>
      <c r="Q120" s="935">
        <v>0</v>
      </c>
      <c r="R120" s="935">
        <v>0</v>
      </c>
      <c r="S120" s="935">
        <v>0</v>
      </c>
      <c r="T120" s="935">
        <v>0</v>
      </c>
      <c r="U120" s="935">
        <v>0</v>
      </c>
      <c r="V120" s="935">
        <v>0</v>
      </c>
      <c r="W120" s="935">
        <f t="shared" si="17"/>
        <v>0</v>
      </c>
    </row>
    <row r="121" spans="1:23" x14ac:dyDescent="0.2">
      <c r="A121" s="2">
        <v>3100</v>
      </c>
      <c r="B121" s="3" t="s">
        <v>160</v>
      </c>
      <c r="C121" s="935">
        <v>0</v>
      </c>
      <c r="D121" s="935">
        <v>0</v>
      </c>
      <c r="E121" s="935">
        <v>0</v>
      </c>
      <c r="F121" s="935">
        <v>0</v>
      </c>
      <c r="G121" s="935">
        <v>0</v>
      </c>
      <c r="H121" s="935">
        <v>0</v>
      </c>
      <c r="I121" s="935">
        <v>0</v>
      </c>
      <c r="J121" s="935">
        <v>0</v>
      </c>
      <c r="K121" s="935">
        <v>0</v>
      </c>
      <c r="L121" s="935">
        <v>1798</v>
      </c>
      <c r="M121" s="935">
        <v>0</v>
      </c>
      <c r="N121" s="935">
        <v>0</v>
      </c>
      <c r="O121" s="935">
        <v>0</v>
      </c>
      <c r="P121" s="935">
        <v>0</v>
      </c>
      <c r="Q121" s="935">
        <v>0</v>
      </c>
      <c r="R121" s="935">
        <v>0</v>
      </c>
      <c r="S121" s="935">
        <v>0</v>
      </c>
      <c r="T121" s="935">
        <v>0</v>
      </c>
      <c r="U121" s="935">
        <v>0</v>
      </c>
      <c r="V121" s="935">
        <v>0</v>
      </c>
      <c r="W121" s="935">
        <f t="shared" si="17"/>
        <v>1798</v>
      </c>
    </row>
    <row r="122" spans="1:23" hidden="1" x14ac:dyDescent="0.2">
      <c r="A122" s="2">
        <v>3200</v>
      </c>
      <c r="B122" s="3" t="s">
        <v>161</v>
      </c>
      <c r="C122" s="935">
        <v>0</v>
      </c>
      <c r="D122" s="935">
        <v>0</v>
      </c>
      <c r="E122" s="935">
        <v>0</v>
      </c>
      <c r="F122" s="935">
        <v>0</v>
      </c>
      <c r="G122" s="935">
        <v>0</v>
      </c>
      <c r="H122" s="935">
        <v>0</v>
      </c>
      <c r="I122" s="935">
        <v>0</v>
      </c>
      <c r="J122" s="935">
        <v>0</v>
      </c>
      <c r="K122" s="935">
        <v>0</v>
      </c>
      <c r="L122" s="935">
        <v>0</v>
      </c>
      <c r="M122" s="935">
        <v>0</v>
      </c>
      <c r="N122" s="935">
        <v>0</v>
      </c>
      <c r="O122" s="935">
        <v>0</v>
      </c>
      <c r="P122" s="935">
        <v>0</v>
      </c>
      <c r="Q122" s="935">
        <v>0</v>
      </c>
      <c r="R122" s="935">
        <v>0</v>
      </c>
      <c r="S122" s="935">
        <v>0</v>
      </c>
      <c r="T122" s="935">
        <v>0</v>
      </c>
      <c r="U122" s="935">
        <v>0</v>
      </c>
      <c r="V122" s="935">
        <v>0</v>
      </c>
      <c r="W122" s="935">
        <f t="shared" si="17"/>
        <v>0</v>
      </c>
    </row>
    <row r="123" spans="1:23" hidden="1" x14ac:dyDescent="0.2">
      <c r="A123" s="2">
        <v>3300</v>
      </c>
      <c r="B123" s="3" t="s">
        <v>162</v>
      </c>
      <c r="C123" s="935">
        <v>0</v>
      </c>
      <c r="D123" s="935">
        <v>0</v>
      </c>
      <c r="E123" s="935">
        <v>0</v>
      </c>
      <c r="F123" s="935">
        <v>0</v>
      </c>
      <c r="G123" s="935">
        <v>0</v>
      </c>
      <c r="H123" s="935">
        <v>0</v>
      </c>
      <c r="I123" s="935">
        <v>0</v>
      </c>
      <c r="J123" s="935">
        <v>0</v>
      </c>
      <c r="K123" s="935">
        <v>0</v>
      </c>
      <c r="L123" s="935">
        <v>0</v>
      </c>
      <c r="M123" s="935">
        <v>0</v>
      </c>
      <c r="N123" s="935">
        <v>0</v>
      </c>
      <c r="O123" s="935">
        <v>0</v>
      </c>
      <c r="P123" s="935">
        <v>0</v>
      </c>
      <c r="Q123" s="935">
        <v>0</v>
      </c>
      <c r="R123" s="935">
        <v>0</v>
      </c>
      <c r="S123" s="935">
        <v>0</v>
      </c>
      <c r="T123" s="935">
        <v>0</v>
      </c>
      <c r="U123" s="935">
        <v>0</v>
      </c>
      <c r="V123" s="935">
        <v>0</v>
      </c>
      <c r="W123" s="935">
        <f t="shared" si="17"/>
        <v>0</v>
      </c>
    </row>
    <row r="124" spans="1:23" hidden="1" x14ac:dyDescent="0.2">
      <c r="A124" s="2">
        <v>4000</v>
      </c>
      <c r="B124" s="3" t="s">
        <v>164</v>
      </c>
      <c r="C124" s="935">
        <v>0</v>
      </c>
      <c r="D124" s="935">
        <v>0</v>
      </c>
      <c r="E124" s="935">
        <v>0</v>
      </c>
      <c r="F124" s="935">
        <v>0</v>
      </c>
      <c r="G124" s="935">
        <v>0</v>
      </c>
      <c r="H124" s="935">
        <v>0</v>
      </c>
      <c r="I124" s="935">
        <v>0</v>
      </c>
      <c r="J124" s="935">
        <v>0</v>
      </c>
      <c r="K124" s="935">
        <v>0</v>
      </c>
      <c r="L124" s="935">
        <v>0</v>
      </c>
      <c r="M124" s="935">
        <v>0</v>
      </c>
      <c r="N124" s="935">
        <v>0</v>
      </c>
      <c r="O124" s="935">
        <v>0</v>
      </c>
      <c r="P124" s="935">
        <v>0</v>
      </c>
      <c r="Q124" s="935">
        <v>0</v>
      </c>
      <c r="R124" s="935">
        <v>0</v>
      </c>
      <c r="S124" s="935">
        <v>0</v>
      </c>
      <c r="T124" s="935">
        <v>0</v>
      </c>
      <c r="U124" s="935">
        <v>0</v>
      </c>
      <c r="V124" s="935">
        <v>0</v>
      </c>
      <c r="W124" s="935">
        <f t="shared" ref="W124:W141" si="18">SUM(C124:V124)</f>
        <v>0</v>
      </c>
    </row>
    <row r="125" spans="1:23" x14ac:dyDescent="0.2">
      <c r="A125" s="2">
        <v>4100</v>
      </c>
      <c r="B125" s="3" t="s">
        <v>163</v>
      </c>
      <c r="C125" s="935">
        <v>0</v>
      </c>
      <c r="D125" s="935">
        <v>6886</v>
      </c>
      <c r="E125" s="935">
        <v>7379218.7999999998</v>
      </c>
      <c r="F125" s="935">
        <v>25000000</v>
      </c>
      <c r="G125" s="935">
        <v>2590702.54</v>
      </c>
      <c r="H125" s="935">
        <v>0</v>
      </c>
      <c r="I125" s="935">
        <v>0</v>
      </c>
      <c r="J125" s="935">
        <v>0</v>
      </c>
      <c r="K125" s="935">
        <v>0</v>
      </c>
      <c r="L125" s="935">
        <v>0</v>
      </c>
      <c r="M125" s="935">
        <v>0</v>
      </c>
      <c r="N125" s="935">
        <v>0</v>
      </c>
      <c r="O125" s="935">
        <v>0</v>
      </c>
      <c r="P125" s="935">
        <v>0</v>
      </c>
      <c r="Q125" s="935">
        <v>0</v>
      </c>
      <c r="R125" s="935">
        <v>0</v>
      </c>
      <c r="S125" s="935">
        <v>0</v>
      </c>
      <c r="T125" s="935">
        <v>0</v>
      </c>
      <c r="U125" s="935">
        <v>0</v>
      </c>
      <c r="V125" s="935">
        <v>0</v>
      </c>
      <c r="W125" s="935">
        <f t="shared" si="18"/>
        <v>34976807.340000004</v>
      </c>
    </row>
    <row r="126" spans="1:23" hidden="1" x14ac:dyDescent="0.2">
      <c r="A126" s="2">
        <v>4200</v>
      </c>
      <c r="B126" s="3" t="s">
        <v>165</v>
      </c>
      <c r="C126" s="935">
        <v>0</v>
      </c>
      <c r="D126" s="935">
        <v>0</v>
      </c>
      <c r="E126" s="935">
        <v>0</v>
      </c>
      <c r="F126" s="935">
        <v>0</v>
      </c>
      <c r="G126" s="935">
        <v>0</v>
      </c>
      <c r="H126" s="935">
        <v>0</v>
      </c>
      <c r="I126" s="935">
        <v>0</v>
      </c>
      <c r="J126" s="935">
        <v>0</v>
      </c>
      <c r="K126" s="935">
        <v>0</v>
      </c>
      <c r="L126" s="935">
        <v>0</v>
      </c>
      <c r="M126" s="935">
        <v>0</v>
      </c>
      <c r="N126" s="935">
        <v>0</v>
      </c>
      <c r="O126" s="935">
        <v>0</v>
      </c>
      <c r="P126" s="935">
        <v>0</v>
      </c>
      <c r="Q126" s="935">
        <v>0</v>
      </c>
      <c r="R126" s="935">
        <v>0</v>
      </c>
      <c r="S126" s="935">
        <v>0</v>
      </c>
      <c r="T126" s="935">
        <v>0</v>
      </c>
      <c r="U126" s="935">
        <v>0</v>
      </c>
      <c r="V126" s="935">
        <v>0</v>
      </c>
      <c r="W126" s="935">
        <f t="shared" si="18"/>
        <v>0</v>
      </c>
    </row>
    <row r="127" spans="1:23" x14ac:dyDescent="0.2">
      <c r="A127" s="2">
        <v>4300</v>
      </c>
      <c r="B127" s="3" t="s">
        <v>166</v>
      </c>
      <c r="C127" s="935">
        <v>0</v>
      </c>
      <c r="D127" s="935">
        <v>484771</v>
      </c>
      <c r="E127" s="935">
        <v>0</v>
      </c>
      <c r="F127" s="935">
        <v>0</v>
      </c>
      <c r="G127" s="935">
        <v>6488542.5499999998</v>
      </c>
      <c r="H127" s="935">
        <v>0</v>
      </c>
      <c r="I127" s="935">
        <v>1626938.43</v>
      </c>
      <c r="J127" s="935">
        <v>6858712.3399999999</v>
      </c>
      <c r="K127" s="935">
        <v>17459000</v>
      </c>
      <c r="L127" s="935">
        <v>0</v>
      </c>
      <c r="M127" s="935">
        <v>0</v>
      </c>
      <c r="N127" s="935">
        <v>0</v>
      </c>
      <c r="O127" s="935">
        <v>0</v>
      </c>
      <c r="P127" s="935">
        <v>0</v>
      </c>
      <c r="Q127" s="935">
        <v>0</v>
      </c>
      <c r="R127" s="935">
        <v>0</v>
      </c>
      <c r="S127" s="935">
        <v>0</v>
      </c>
      <c r="T127" s="935">
        <v>0</v>
      </c>
      <c r="U127" s="935">
        <v>0</v>
      </c>
      <c r="V127" s="935">
        <v>0</v>
      </c>
      <c r="W127" s="935">
        <f t="shared" si="18"/>
        <v>32917964.32</v>
      </c>
    </row>
    <row r="128" spans="1:23" hidden="1" x14ac:dyDescent="0.2">
      <c r="A128" s="2">
        <v>4400</v>
      </c>
      <c r="B128" s="3" t="s">
        <v>167</v>
      </c>
      <c r="C128" s="935">
        <v>0</v>
      </c>
      <c r="D128" s="935">
        <v>0</v>
      </c>
      <c r="E128" s="935">
        <v>0</v>
      </c>
      <c r="F128" s="935">
        <v>0</v>
      </c>
      <c r="G128" s="935">
        <v>0</v>
      </c>
      <c r="H128" s="935">
        <v>0</v>
      </c>
      <c r="I128" s="935">
        <v>0</v>
      </c>
      <c r="J128" s="935">
        <v>0</v>
      </c>
      <c r="K128" s="935">
        <v>0</v>
      </c>
      <c r="L128" s="935">
        <v>0</v>
      </c>
      <c r="M128" s="935">
        <v>0</v>
      </c>
      <c r="N128" s="935">
        <v>0</v>
      </c>
      <c r="O128" s="935">
        <v>0</v>
      </c>
      <c r="P128" s="935">
        <v>0</v>
      </c>
      <c r="Q128" s="935">
        <v>0</v>
      </c>
      <c r="R128" s="935">
        <v>0</v>
      </c>
      <c r="S128" s="935">
        <v>0</v>
      </c>
      <c r="T128" s="935">
        <v>0</v>
      </c>
      <c r="U128" s="935">
        <v>0</v>
      </c>
      <c r="V128" s="935">
        <v>0</v>
      </c>
      <c r="W128" s="935">
        <f t="shared" si="18"/>
        <v>0</v>
      </c>
    </row>
    <row r="129" spans="1:23" x14ac:dyDescent="0.2">
      <c r="A129" s="2">
        <v>4500</v>
      </c>
      <c r="B129" s="3" t="s">
        <v>168</v>
      </c>
      <c r="C129" s="935">
        <v>0</v>
      </c>
      <c r="D129" s="935">
        <v>0</v>
      </c>
      <c r="E129" s="935">
        <v>63002751.119999997</v>
      </c>
      <c r="F129" s="935">
        <v>218000000</v>
      </c>
      <c r="G129" s="935">
        <v>30197444.079999998</v>
      </c>
      <c r="H129" s="935">
        <v>0</v>
      </c>
      <c r="I129" s="935">
        <v>0</v>
      </c>
      <c r="J129" s="935">
        <v>0</v>
      </c>
      <c r="K129" s="935">
        <v>0</v>
      </c>
      <c r="L129" s="935">
        <v>0</v>
      </c>
      <c r="M129" s="935">
        <v>0</v>
      </c>
      <c r="N129" s="935">
        <v>0</v>
      </c>
      <c r="O129" s="935">
        <v>0</v>
      </c>
      <c r="P129" s="935">
        <v>0</v>
      </c>
      <c r="Q129" s="935">
        <v>0</v>
      </c>
      <c r="R129" s="935">
        <v>0</v>
      </c>
      <c r="S129" s="935">
        <v>0</v>
      </c>
      <c r="T129" s="935">
        <v>0</v>
      </c>
      <c r="U129" s="935">
        <v>0</v>
      </c>
      <c r="V129" s="935">
        <v>0</v>
      </c>
      <c r="W129" s="935">
        <f t="shared" si="18"/>
        <v>311200195.19999999</v>
      </c>
    </row>
    <row r="130" spans="1:23" x14ac:dyDescent="0.2">
      <c r="A130" s="2">
        <v>4600</v>
      </c>
      <c r="B130" s="3" t="s">
        <v>169</v>
      </c>
      <c r="C130" s="935">
        <v>0</v>
      </c>
      <c r="D130" s="935">
        <v>175000</v>
      </c>
      <c r="E130" s="935">
        <v>1000000</v>
      </c>
      <c r="F130" s="935">
        <v>14000000</v>
      </c>
      <c r="G130" s="935">
        <v>5882944.6399999997</v>
      </c>
      <c r="H130" s="935">
        <v>25000</v>
      </c>
      <c r="I130" s="935">
        <v>811147</v>
      </c>
      <c r="J130" s="935">
        <v>2217659.2200000002</v>
      </c>
      <c r="K130" s="935">
        <v>7656000</v>
      </c>
      <c r="L130" s="935">
        <v>0</v>
      </c>
      <c r="M130" s="935">
        <v>0</v>
      </c>
      <c r="N130" s="935">
        <v>0</v>
      </c>
      <c r="O130" s="935">
        <v>0</v>
      </c>
      <c r="P130" s="935">
        <v>0</v>
      </c>
      <c r="Q130" s="935">
        <v>0</v>
      </c>
      <c r="R130" s="935">
        <v>0</v>
      </c>
      <c r="S130" s="935">
        <v>0</v>
      </c>
      <c r="T130" s="935">
        <v>0</v>
      </c>
      <c r="U130" s="935">
        <v>0</v>
      </c>
      <c r="V130" s="935">
        <v>0</v>
      </c>
      <c r="W130" s="935">
        <f t="shared" si="18"/>
        <v>31767750.859999999</v>
      </c>
    </row>
    <row r="131" spans="1:23" x14ac:dyDescent="0.2">
      <c r="A131" s="2">
        <v>4700</v>
      </c>
      <c r="B131" s="3" t="s">
        <v>170</v>
      </c>
      <c r="C131" s="935">
        <v>0</v>
      </c>
      <c r="D131" s="935">
        <v>387774</v>
      </c>
      <c r="E131" s="935">
        <v>0</v>
      </c>
      <c r="F131" s="935">
        <v>23000000</v>
      </c>
      <c r="G131" s="935">
        <v>8779382.8499999996</v>
      </c>
      <c r="H131" s="935">
        <v>308513.75</v>
      </c>
      <c r="I131" s="935">
        <v>1668117.28</v>
      </c>
      <c r="J131" s="935">
        <v>7534406.4900000002</v>
      </c>
      <c r="K131" s="935">
        <v>41020000</v>
      </c>
      <c r="L131" s="935">
        <v>0</v>
      </c>
      <c r="M131" s="935">
        <v>0</v>
      </c>
      <c r="N131" s="935">
        <v>0</v>
      </c>
      <c r="O131" s="935">
        <v>0</v>
      </c>
      <c r="P131" s="935">
        <v>0</v>
      </c>
      <c r="Q131" s="935">
        <v>0</v>
      </c>
      <c r="R131" s="935">
        <v>0</v>
      </c>
      <c r="S131" s="935">
        <v>0</v>
      </c>
      <c r="T131" s="935">
        <v>0</v>
      </c>
      <c r="U131" s="935">
        <v>0</v>
      </c>
      <c r="V131" s="935">
        <v>0</v>
      </c>
      <c r="W131" s="935">
        <f t="shared" si="18"/>
        <v>82698194.370000005</v>
      </c>
    </row>
    <row r="132" spans="1:23" hidden="1" x14ac:dyDescent="0.2">
      <c r="A132" s="2">
        <v>4900</v>
      </c>
      <c r="B132" s="3" t="s">
        <v>171</v>
      </c>
      <c r="C132" s="935">
        <v>0</v>
      </c>
      <c r="D132" s="935">
        <v>0</v>
      </c>
      <c r="E132" s="935">
        <v>0</v>
      </c>
      <c r="F132" s="935">
        <v>0</v>
      </c>
      <c r="G132" s="935">
        <v>0</v>
      </c>
      <c r="H132" s="935">
        <v>0</v>
      </c>
      <c r="I132" s="935">
        <v>0</v>
      </c>
      <c r="J132" s="935">
        <v>0</v>
      </c>
      <c r="K132" s="935">
        <v>0</v>
      </c>
      <c r="L132" s="935">
        <v>0</v>
      </c>
      <c r="M132" s="935">
        <v>0</v>
      </c>
      <c r="N132" s="935">
        <v>0</v>
      </c>
      <c r="O132" s="935">
        <v>0</v>
      </c>
      <c r="P132" s="935">
        <v>0</v>
      </c>
      <c r="Q132" s="935">
        <v>0</v>
      </c>
      <c r="R132" s="935">
        <v>0</v>
      </c>
      <c r="S132" s="935">
        <v>0</v>
      </c>
      <c r="T132" s="935">
        <v>0</v>
      </c>
      <c r="U132" s="935">
        <v>0</v>
      </c>
      <c r="V132" s="935">
        <v>0</v>
      </c>
      <c r="W132" s="935">
        <f t="shared" si="18"/>
        <v>0</v>
      </c>
    </row>
    <row r="133" spans="1:23" hidden="1" x14ac:dyDescent="0.2">
      <c r="A133" s="2">
        <v>5000</v>
      </c>
      <c r="B133" s="3" t="s">
        <v>172</v>
      </c>
      <c r="C133" s="935">
        <v>0</v>
      </c>
      <c r="D133" s="935">
        <v>0</v>
      </c>
      <c r="E133" s="935">
        <v>0</v>
      </c>
      <c r="F133" s="935">
        <v>0</v>
      </c>
      <c r="G133" s="935">
        <v>0</v>
      </c>
      <c r="H133" s="935">
        <v>0</v>
      </c>
      <c r="I133" s="935">
        <v>0</v>
      </c>
      <c r="J133" s="935">
        <v>0</v>
      </c>
      <c r="K133" s="935">
        <v>0</v>
      </c>
      <c r="L133" s="935">
        <v>0</v>
      </c>
      <c r="M133" s="935">
        <v>0</v>
      </c>
      <c r="N133" s="935">
        <v>0</v>
      </c>
      <c r="O133" s="935">
        <v>0</v>
      </c>
      <c r="P133" s="935">
        <v>0</v>
      </c>
      <c r="Q133" s="935">
        <v>0</v>
      </c>
      <c r="R133" s="935">
        <v>0</v>
      </c>
      <c r="S133" s="935">
        <v>0</v>
      </c>
      <c r="T133" s="935">
        <v>0</v>
      </c>
      <c r="U133" s="935">
        <v>0</v>
      </c>
      <c r="V133" s="935">
        <v>0</v>
      </c>
      <c r="W133" s="935">
        <f t="shared" si="18"/>
        <v>0</v>
      </c>
    </row>
    <row r="134" spans="1:23" x14ac:dyDescent="0.2">
      <c r="A134" s="2">
        <v>5000</v>
      </c>
      <c r="B134" s="3" t="s">
        <v>173</v>
      </c>
      <c r="C134" s="935">
        <v>0</v>
      </c>
      <c r="D134" s="935">
        <v>0</v>
      </c>
      <c r="E134" s="935">
        <v>0</v>
      </c>
      <c r="F134" s="935">
        <v>0</v>
      </c>
      <c r="G134" s="935">
        <v>0</v>
      </c>
      <c r="H134" s="935">
        <v>0</v>
      </c>
      <c r="I134" s="935">
        <v>0</v>
      </c>
      <c r="J134" s="935">
        <v>0</v>
      </c>
      <c r="K134" s="935">
        <v>0</v>
      </c>
      <c r="L134" s="935">
        <v>0</v>
      </c>
      <c r="M134" s="935">
        <v>0</v>
      </c>
      <c r="N134" s="935">
        <v>0</v>
      </c>
      <c r="O134" s="935">
        <f>34225000+23321889+1100000+1925739+75703</f>
        <v>60648331</v>
      </c>
      <c r="P134" s="935">
        <v>18147150</v>
      </c>
      <c r="Q134" s="935">
        <v>0</v>
      </c>
      <c r="R134" s="935">
        <v>0</v>
      </c>
      <c r="S134" s="935">
        <v>0</v>
      </c>
      <c r="T134" s="935">
        <v>0</v>
      </c>
      <c r="U134" s="935">
        <v>0</v>
      </c>
      <c r="V134" s="935">
        <v>0</v>
      </c>
      <c r="W134" s="935">
        <f t="shared" si="18"/>
        <v>78795481</v>
      </c>
    </row>
    <row r="135" spans="1:23" hidden="1" x14ac:dyDescent="0.2">
      <c r="A135" s="2">
        <v>6100</v>
      </c>
      <c r="B135" s="3" t="s">
        <v>174</v>
      </c>
      <c r="C135" s="935">
        <v>0</v>
      </c>
      <c r="D135" s="935">
        <v>0</v>
      </c>
      <c r="E135" s="935">
        <v>0</v>
      </c>
      <c r="F135" s="935">
        <v>0</v>
      </c>
      <c r="G135" s="935">
        <v>0</v>
      </c>
      <c r="H135" s="935">
        <v>0</v>
      </c>
      <c r="I135" s="935">
        <v>0</v>
      </c>
      <c r="J135" s="935">
        <v>0</v>
      </c>
      <c r="K135" s="935">
        <v>0</v>
      </c>
      <c r="L135" s="935">
        <v>0</v>
      </c>
      <c r="M135" s="935">
        <v>0</v>
      </c>
      <c r="N135" s="935">
        <v>0</v>
      </c>
      <c r="O135" s="935">
        <v>0</v>
      </c>
      <c r="P135" s="935">
        <v>0</v>
      </c>
      <c r="Q135" s="935">
        <v>0</v>
      </c>
      <c r="R135" s="935">
        <v>0</v>
      </c>
      <c r="S135" s="935">
        <v>0</v>
      </c>
      <c r="T135" s="935">
        <v>0</v>
      </c>
      <c r="U135" s="935">
        <v>0</v>
      </c>
      <c r="V135" s="935">
        <v>0</v>
      </c>
      <c r="W135" s="935">
        <f t="shared" si="18"/>
        <v>0</v>
      </c>
    </row>
    <row r="136" spans="1:23" x14ac:dyDescent="0.2">
      <c r="A136" s="2">
        <v>6200</v>
      </c>
      <c r="B136" s="3" t="s">
        <v>175</v>
      </c>
      <c r="C136" s="935">
        <v>45355506</v>
      </c>
      <c r="D136" s="935">
        <v>0</v>
      </c>
      <c r="E136" s="935">
        <v>0</v>
      </c>
      <c r="F136" s="935">
        <v>0</v>
      </c>
      <c r="G136" s="935">
        <v>46309425</v>
      </c>
      <c r="H136" s="935">
        <v>0</v>
      </c>
      <c r="I136" s="935">
        <v>2001442</v>
      </c>
      <c r="J136" s="935">
        <v>0</v>
      </c>
      <c r="K136" s="935">
        <v>0</v>
      </c>
      <c r="L136" s="935">
        <v>0</v>
      </c>
      <c r="M136" s="935">
        <v>0</v>
      </c>
      <c r="N136" s="935">
        <v>0</v>
      </c>
      <c r="O136" s="935">
        <v>0</v>
      </c>
      <c r="P136" s="935">
        <v>0</v>
      </c>
      <c r="Q136" s="935">
        <v>0</v>
      </c>
      <c r="R136" s="935">
        <v>0</v>
      </c>
      <c r="S136" s="935">
        <v>0</v>
      </c>
      <c r="T136" s="935">
        <v>0</v>
      </c>
      <c r="U136" s="935">
        <v>0</v>
      </c>
      <c r="V136" s="935">
        <v>0</v>
      </c>
      <c r="W136" s="935">
        <f t="shared" si="18"/>
        <v>93666373</v>
      </c>
    </row>
    <row r="137" spans="1:23" x14ac:dyDescent="0.2">
      <c r="A137" s="2">
        <v>6300</v>
      </c>
      <c r="B137" s="3" t="s">
        <v>176</v>
      </c>
      <c r="C137" s="935">
        <v>1031242</v>
      </c>
      <c r="D137" s="935">
        <v>0</v>
      </c>
      <c r="E137" s="935">
        <v>0</v>
      </c>
      <c r="F137" s="935">
        <v>0</v>
      </c>
      <c r="G137" s="935">
        <v>0</v>
      </c>
      <c r="H137" s="935">
        <v>0</v>
      </c>
      <c r="I137" s="935">
        <v>0</v>
      </c>
      <c r="J137" s="935">
        <v>0</v>
      </c>
      <c r="K137" s="935">
        <v>0</v>
      </c>
      <c r="L137" s="935">
        <v>0</v>
      </c>
      <c r="M137" s="935">
        <v>0</v>
      </c>
      <c r="N137" s="935">
        <v>0</v>
      </c>
      <c r="O137" s="935">
        <v>0</v>
      </c>
      <c r="P137" s="935">
        <v>0</v>
      </c>
      <c r="Q137" s="935">
        <v>0</v>
      </c>
      <c r="R137" s="935">
        <v>0</v>
      </c>
      <c r="S137" s="935">
        <v>0</v>
      </c>
      <c r="T137" s="935">
        <v>0</v>
      </c>
      <c r="U137" s="935">
        <v>0</v>
      </c>
      <c r="V137" s="935">
        <v>0</v>
      </c>
      <c r="W137" s="935">
        <f t="shared" si="18"/>
        <v>1031242</v>
      </c>
    </row>
    <row r="138" spans="1:23" x14ac:dyDescent="0.2">
      <c r="A138" s="2">
        <v>8000</v>
      </c>
      <c r="B138" s="3" t="s">
        <v>177</v>
      </c>
      <c r="C138" s="935">
        <v>38707976</v>
      </c>
      <c r="D138" s="935">
        <v>135000</v>
      </c>
      <c r="E138" s="935">
        <v>0</v>
      </c>
      <c r="F138" s="935">
        <v>5000000</v>
      </c>
      <c r="G138" s="935">
        <v>0</v>
      </c>
      <c r="H138" s="935">
        <v>310000</v>
      </c>
      <c r="I138" s="935">
        <v>8679514.8200000003</v>
      </c>
      <c r="J138" s="935">
        <v>0</v>
      </c>
      <c r="K138" s="935">
        <v>5572824</v>
      </c>
      <c r="L138" s="935">
        <v>1857098</v>
      </c>
      <c r="M138" s="935">
        <v>0</v>
      </c>
      <c r="N138" s="935">
        <v>0</v>
      </c>
      <c r="O138" s="935">
        <v>39007159</v>
      </c>
      <c r="P138" s="935">
        <v>45067309</v>
      </c>
      <c r="Q138" s="935">
        <v>1251852</v>
      </c>
      <c r="R138" s="935">
        <v>49948544</v>
      </c>
      <c r="S138" s="935">
        <v>560432</v>
      </c>
      <c r="T138" s="935">
        <v>-4300018.5</v>
      </c>
      <c r="U138" s="935">
        <v>18286002</v>
      </c>
      <c r="V138" s="935">
        <v>0</v>
      </c>
      <c r="W138" s="935">
        <f t="shared" si="18"/>
        <v>210083692.31999999</v>
      </c>
    </row>
    <row r="139" spans="1:23" x14ac:dyDescent="0.2">
      <c r="C139" s="935"/>
      <c r="D139" s="935"/>
      <c r="E139" s="935"/>
      <c r="F139" s="935"/>
      <c r="G139" s="935"/>
      <c r="H139" s="935"/>
      <c r="I139" s="935"/>
      <c r="J139" s="935"/>
      <c r="K139" s="935"/>
      <c r="L139" s="935"/>
      <c r="M139" s="935"/>
      <c r="N139" s="935"/>
      <c r="O139" s="935"/>
      <c r="P139" s="935"/>
      <c r="Q139" s="935"/>
      <c r="R139" s="935"/>
      <c r="S139" s="935"/>
      <c r="T139" s="935"/>
      <c r="U139" s="935"/>
      <c r="V139" s="935"/>
      <c r="W139" s="935">
        <f t="shared" si="18"/>
        <v>0</v>
      </c>
    </row>
    <row r="140" spans="1:23" s="2" customFormat="1" x14ac:dyDescent="0.2">
      <c r="B140" s="2" t="s">
        <v>448</v>
      </c>
      <c r="C140" s="931">
        <v>0</v>
      </c>
      <c r="D140" s="931">
        <v>0</v>
      </c>
      <c r="E140" s="931">
        <v>0</v>
      </c>
      <c r="F140" s="931">
        <v>0</v>
      </c>
      <c r="G140" s="931">
        <v>0</v>
      </c>
      <c r="H140" s="931">
        <v>0</v>
      </c>
      <c r="I140" s="931">
        <v>0</v>
      </c>
      <c r="J140" s="931">
        <v>0</v>
      </c>
      <c r="K140" s="931">
        <v>0</v>
      </c>
      <c r="L140" s="931">
        <v>0</v>
      </c>
      <c r="M140" s="931">
        <v>0</v>
      </c>
      <c r="N140" s="931">
        <v>0</v>
      </c>
      <c r="O140" s="931">
        <v>0</v>
      </c>
      <c r="P140" s="931">
        <v>0</v>
      </c>
      <c r="Q140" s="931">
        <v>0</v>
      </c>
      <c r="R140" s="931">
        <v>0</v>
      </c>
      <c r="S140" s="931">
        <v>0</v>
      </c>
      <c r="T140" s="931">
        <v>0</v>
      </c>
      <c r="U140" s="931">
        <v>0</v>
      </c>
      <c r="V140" s="931">
        <v>-2001442</v>
      </c>
      <c r="W140" s="931">
        <f t="shared" si="18"/>
        <v>-2001442</v>
      </c>
    </row>
    <row r="141" spans="1:23" s="2" customFormat="1" x14ac:dyDescent="0.2">
      <c r="B141" s="2" t="s">
        <v>453</v>
      </c>
      <c r="C141" s="931">
        <v>0</v>
      </c>
      <c r="D141" s="931">
        <v>0</v>
      </c>
      <c r="E141" s="931">
        <v>0</v>
      </c>
      <c r="F141" s="931">
        <v>0</v>
      </c>
      <c r="G141" s="931">
        <v>0</v>
      </c>
      <c r="H141" s="931">
        <v>0</v>
      </c>
      <c r="I141" s="931">
        <v>0</v>
      </c>
      <c r="J141" s="931">
        <v>0</v>
      </c>
      <c r="K141" s="931">
        <v>0</v>
      </c>
      <c r="L141" s="931">
        <v>0</v>
      </c>
      <c r="M141" s="931">
        <v>0</v>
      </c>
      <c r="N141" s="931">
        <v>0</v>
      </c>
      <c r="O141" s="931">
        <v>0</v>
      </c>
      <c r="P141" s="931">
        <v>0</v>
      </c>
      <c r="Q141" s="931">
        <v>0</v>
      </c>
      <c r="R141" s="931">
        <v>0</v>
      </c>
      <c r="S141" s="931">
        <v>0</v>
      </c>
      <c r="T141" s="931">
        <v>0</v>
      </c>
      <c r="U141" s="931">
        <v>0</v>
      </c>
      <c r="V141" s="931">
        <v>-46309425</v>
      </c>
      <c r="W141" s="931">
        <f t="shared" si="18"/>
        <v>-46309425</v>
      </c>
    </row>
    <row r="142" spans="1:23" x14ac:dyDescent="0.2">
      <c r="C142" s="935"/>
      <c r="D142" s="935"/>
      <c r="E142" s="935"/>
      <c r="F142" s="935"/>
      <c r="G142" s="935"/>
      <c r="H142" s="935"/>
      <c r="I142" s="935"/>
      <c r="J142" s="935"/>
      <c r="K142" s="935"/>
      <c r="L142" s="935"/>
      <c r="M142" s="935"/>
      <c r="N142" s="935"/>
      <c r="O142" s="935"/>
      <c r="P142" s="935"/>
      <c r="Q142" s="935"/>
      <c r="R142" s="935"/>
      <c r="S142" s="935"/>
      <c r="T142" s="935"/>
      <c r="U142" s="935"/>
      <c r="V142" s="935"/>
      <c r="W142" s="935"/>
    </row>
    <row r="143" spans="1:23" s="2" customFormat="1" x14ac:dyDescent="0.2">
      <c r="A143" s="53"/>
      <c r="B143" s="2" t="s">
        <v>308</v>
      </c>
      <c r="C143" s="931"/>
      <c r="D143" s="931"/>
      <c r="E143" s="931"/>
      <c r="F143" s="931"/>
      <c r="G143" s="931"/>
      <c r="H143" s="931"/>
      <c r="I143" s="931"/>
      <c r="J143" s="931"/>
      <c r="K143" s="931"/>
      <c r="L143" s="931"/>
      <c r="M143" s="931"/>
      <c r="N143" s="931"/>
      <c r="O143" s="931"/>
      <c r="P143" s="931"/>
      <c r="Q143" s="931"/>
      <c r="R143" s="931"/>
      <c r="S143" s="931"/>
      <c r="T143" s="931"/>
      <c r="U143" s="931"/>
      <c r="V143" s="931"/>
      <c r="W143" s="931"/>
    </row>
    <row r="144" spans="1:23" hidden="1" x14ac:dyDescent="0.2">
      <c r="B144" s="3" t="s">
        <v>179</v>
      </c>
      <c r="C144" s="935">
        <v>0</v>
      </c>
      <c r="D144" s="935">
        <v>0</v>
      </c>
      <c r="E144" s="935">
        <v>0</v>
      </c>
      <c r="F144" s="935">
        <v>0</v>
      </c>
      <c r="G144" s="935">
        <v>0</v>
      </c>
      <c r="H144" s="935">
        <v>0</v>
      </c>
      <c r="I144" s="935">
        <v>0</v>
      </c>
      <c r="J144" s="935">
        <v>0</v>
      </c>
      <c r="K144" s="935">
        <v>0</v>
      </c>
      <c r="L144" s="935">
        <v>0</v>
      </c>
      <c r="M144" s="935">
        <v>0</v>
      </c>
      <c r="N144" s="935">
        <v>0</v>
      </c>
      <c r="O144" s="935">
        <v>0</v>
      </c>
      <c r="P144" s="935">
        <v>0</v>
      </c>
      <c r="Q144" s="935">
        <v>0</v>
      </c>
      <c r="R144" s="935">
        <v>0</v>
      </c>
      <c r="S144" s="935">
        <v>0</v>
      </c>
      <c r="T144" s="935">
        <v>0</v>
      </c>
      <c r="U144" s="935">
        <v>0</v>
      </c>
      <c r="V144" s="935">
        <v>0</v>
      </c>
      <c r="W144" s="935">
        <f t="shared" ref="W144:W175" si="19">SUM(C144:V144)</f>
        <v>0</v>
      </c>
    </row>
    <row r="145" spans="2:23" hidden="1" x14ac:dyDescent="0.2">
      <c r="B145" s="3" t="s">
        <v>145</v>
      </c>
      <c r="C145" s="935">
        <v>0</v>
      </c>
      <c r="D145" s="935">
        <v>0</v>
      </c>
      <c r="E145" s="935">
        <v>0</v>
      </c>
      <c r="F145" s="935">
        <v>0</v>
      </c>
      <c r="G145" s="935">
        <v>0</v>
      </c>
      <c r="H145" s="935">
        <v>0</v>
      </c>
      <c r="I145" s="935">
        <v>0</v>
      </c>
      <c r="J145" s="935">
        <v>0</v>
      </c>
      <c r="K145" s="935">
        <v>0</v>
      </c>
      <c r="L145" s="935">
        <v>0</v>
      </c>
      <c r="M145" s="935">
        <v>0</v>
      </c>
      <c r="N145" s="935">
        <v>0</v>
      </c>
      <c r="O145" s="935">
        <v>0</v>
      </c>
      <c r="P145" s="935">
        <v>0</v>
      </c>
      <c r="Q145" s="935">
        <v>0</v>
      </c>
      <c r="R145" s="935">
        <v>0</v>
      </c>
      <c r="S145" s="935">
        <v>0</v>
      </c>
      <c r="T145" s="935">
        <v>0</v>
      </c>
      <c r="U145" s="935">
        <v>0</v>
      </c>
      <c r="V145" s="935">
        <v>0</v>
      </c>
      <c r="W145" s="935">
        <f t="shared" si="19"/>
        <v>0</v>
      </c>
    </row>
    <row r="146" spans="2:23" hidden="1" x14ac:dyDescent="0.2">
      <c r="B146" s="3" t="s">
        <v>180</v>
      </c>
      <c r="C146" s="935">
        <v>0</v>
      </c>
      <c r="D146" s="935">
        <v>0</v>
      </c>
      <c r="E146" s="935">
        <v>0</v>
      </c>
      <c r="F146" s="935">
        <v>0</v>
      </c>
      <c r="G146" s="935">
        <v>0</v>
      </c>
      <c r="H146" s="935">
        <v>0</v>
      </c>
      <c r="I146" s="935">
        <v>0</v>
      </c>
      <c r="J146" s="935">
        <v>0</v>
      </c>
      <c r="K146" s="935">
        <v>0</v>
      </c>
      <c r="L146" s="935">
        <v>0</v>
      </c>
      <c r="M146" s="935">
        <v>0</v>
      </c>
      <c r="N146" s="935">
        <v>0</v>
      </c>
      <c r="O146" s="935">
        <v>0</v>
      </c>
      <c r="P146" s="935">
        <v>0</v>
      </c>
      <c r="Q146" s="935">
        <v>0</v>
      </c>
      <c r="R146" s="935">
        <v>0</v>
      </c>
      <c r="S146" s="935">
        <v>0</v>
      </c>
      <c r="T146" s="935">
        <v>0</v>
      </c>
      <c r="U146" s="935">
        <v>0</v>
      </c>
      <c r="V146" s="935">
        <v>0</v>
      </c>
      <c r="W146" s="935">
        <f t="shared" si="19"/>
        <v>0</v>
      </c>
    </row>
    <row r="147" spans="2:23" hidden="1" x14ac:dyDescent="0.2">
      <c r="B147" s="3" t="s">
        <v>181</v>
      </c>
      <c r="C147" s="935">
        <v>0</v>
      </c>
      <c r="D147" s="935">
        <v>0</v>
      </c>
      <c r="E147" s="935">
        <v>0</v>
      </c>
      <c r="F147" s="935">
        <v>0</v>
      </c>
      <c r="G147" s="935">
        <v>0</v>
      </c>
      <c r="H147" s="935">
        <v>0</v>
      </c>
      <c r="I147" s="935">
        <v>0</v>
      </c>
      <c r="J147" s="935">
        <v>0</v>
      </c>
      <c r="K147" s="935">
        <v>0</v>
      </c>
      <c r="L147" s="935">
        <v>0</v>
      </c>
      <c r="M147" s="935">
        <v>0</v>
      </c>
      <c r="N147" s="935">
        <v>0</v>
      </c>
      <c r="O147" s="935">
        <v>0</v>
      </c>
      <c r="P147" s="935">
        <v>0</v>
      </c>
      <c r="Q147" s="935">
        <v>0</v>
      </c>
      <c r="R147" s="935">
        <v>0</v>
      </c>
      <c r="S147" s="935">
        <v>0</v>
      </c>
      <c r="T147" s="935">
        <v>0</v>
      </c>
      <c r="U147" s="935">
        <v>0</v>
      </c>
      <c r="V147" s="935">
        <v>0</v>
      </c>
      <c r="W147" s="935">
        <f t="shared" si="19"/>
        <v>0</v>
      </c>
    </row>
    <row r="148" spans="2:23" hidden="1" x14ac:dyDescent="0.2">
      <c r="B148" s="3" t="s">
        <v>182</v>
      </c>
      <c r="C148" s="935">
        <v>0</v>
      </c>
      <c r="D148" s="935">
        <v>0</v>
      </c>
      <c r="E148" s="935">
        <v>0</v>
      </c>
      <c r="F148" s="935">
        <v>0</v>
      </c>
      <c r="G148" s="935">
        <v>0</v>
      </c>
      <c r="H148" s="935">
        <v>0</v>
      </c>
      <c r="I148" s="935">
        <v>0</v>
      </c>
      <c r="J148" s="935">
        <v>0</v>
      </c>
      <c r="K148" s="935">
        <v>0</v>
      </c>
      <c r="L148" s="935">
        <v>0</v>
      </c>
      <c r="M148" s="935">
        <v>0</v>
      </c>
      <c r="N148" s="935">
        <v>0</v>
      </c>
      <c r="O148" s="935">
        <v>0</v>
      </c>
      <c r="P148" s="935">
        <v>0</v>
      </c>
      <c r="Q148" s="935">
        <v>0</v>
      </c>
      <c r="R148" s="935">
        <v>0</v>
      </c>
      <c r="S148" s="935">
        <v>0</v>
      </c>
      <c r="T148" s="935">
        <v>0</v>
      </c>
      <c r="U148" s="935">
        <v>0</v>
      </c>
      <c r="V148" s="935">
        <v>0</v>
      </c>
      <c r="W148" s="935">
        <f t="shared" si="19"/>
        <v>0</v>
      </c>
    </row>
    <row r="149" spans="2:23" hidden="1" x14ac:dyDescent="0.2">
      <c r="B149" s="3" t="s">
        <v>183</v>
      </c>
      <c r="C149" s="935">
        <v>0</v>
      </c>
      <c r="D149" s="935">
        <v>0</v>
      </c>
      <c r="E149" s="935">
        <v>0</v>
      </c>
      <c r="F149" s="935">
        <v>0</v>
      </c>
      <c r="G149" s="935">
        <v>0</v>
      </c>
      <c r="H149" s="935">
        <v>0</v>
      </c>
      <c r="I149" s="935">
        <v>0</v>
      </c>
      <c r="J149" s="935">
        <v>0</v>
      </c>
      <c r="K149" s="935">
        <v>0</v>
      </c>
      <c r="L149" s="935">
        <v>0</v>
      </c>
      <c r="M149" s="935">
        <v>0</v>
      </c>
      <c r="N149" s="935">
        <v>0</v>
      </c>
      <c r="O149" s="935">
        <v>0</v>
      </c>
      <c r="P149" s="935">
        <v>0</v>
      </c>
      <c r="Q149" s="935">
        <v>0</v>
      </c>
      <c r="R149" s="935">
        <v>0</v>
      </c>
      <c r="S149" s="935">
        <v>0</v>
      </c>
      <c r="T149" s="935">
        <v>0</v>
      </c>
      <c r="U149" s="935">
        <v>0</v>
      </c>
      <c r="V149" s="935">
        <v>0</v>
      </c>
      <c r="W149" s="935">
        <f t="shared" si="19"/>
        <v>0</v>
      </c>
    </row>
    <row r="150" spans="2:23" hidden="1" x14ac:dyDescent="0.2">
      <c r="B150" s="3" t="s">
        <v>184</v>
      </c>
      <c r="C150" s="935">
        <v>0</v>
      </c>
      <c r="D150" s="935">
        <v>0</v>
      </c>
      <c r="E150" s="935">
        <v>0</v>
      </c>
      <c r="F150" s="935">
        <v>0</v>
      </c>
      <c r="G150" s="935">
        <v>0</v>
      </c>
      <c r="H150" s="935">
        <v>0</v>
      </c>
      <c r="I150" s="935">
        <v>0</v>
      </c>
      <c r="J150" s="935">
        <v>0</v>
      </c>
      <c r="K150" s="935">
        <v>0</v>
      </c>
      <c r="L150" s="935">
        <v>0</v>
      </c>
      <c r="M150" s="935">
        <v>0</v>
      </c>
      <c r="N150" s="935">
        <v>0</v>
      </c>
      <c r="O150" s="935">
        <v>0</v>
      </c>
      <c r="P150" s="935">
        <v>0</v>
      </c>
      <c r="Q150" s="935">
        <v>0</v>
      </c>
      <c r="R150" s="935">
        <v>0</v>
      </c>
      <c r="S150" s="935">
        <v>0</v>
      </c>
      <c r="T150" s="935">
        <v>0</v>
      </c>
      <c r="U150" s="935">
        <v>0</v>
      </c>
      <c r="V150" s="935">
        <v>0</v>
      </c>
      <c r="W150" s="935">
        <f t="shared" si="19"/>
        <v>0</v>
      </c>
    </row>
    <row r="151" spans="2:23" hidden="1" x14ac:dyDescent="0.2">
      <c r="B151" s="3" t="s">
        <v>185</v>
      </c>
      <c r="C151" s="935">
        <v>0</v>
      </c>
      <c r="D151" s="935">
        <v>0</v>
      </c>
      <c r="E151" s="935">
        <v>0</v>
      </c>
      <c r="F151" s="935">
        <v>0</v>
      </c>
      <c r="G151" s="935">
        <v>0</v>
      </c>
      <c r="H151" s="935">
        <v>0</v>
      </c>
      <c r="I151" s="935">
        <v>0</v>
      </c>
      <c r="J151" s="935">
        <v>0</v>
      </c>
      <c r="K151" s="935">
        <v>0</v>
      </c>
      <c r="L151" s="935">
        <v>0</v>
      </c>
      <c r="M151" s="935">
        <v>0</v>
      </c>
      <c r="N151" s="935">
        <v>0</v>
      </c>
      <c r="O151" s="935">
        <v>0</v>
      </c>
      <c r="P151" s="935">
        <v>0</v>
      </c>
      <c r="Q151" s="935">
        <v>0</v>
      </c>
      <c r="R151" s="935">
        <v>0</v>
      </c>
      <c r="S151" s="935">
        <v>0</v>
      </c>
      <c r="T151" s="935">
        <v>0</v>
      </c>
      <c r="U151" s="935">
        <v>0</v>
      </c>
      <c r="V151" s="935">
        <v>0</v>
      </c>
      <c r="W151" s="935">
        <f t="shared" si="19"/>
        <v>0</v>
      </c>
    </row>
    <row r="152" spans="2:23" hidden="1" x14ac:dyDescent="0.2">
      <c r="B152" s="3" t="s">
        <v>186</v>
      </c>
      <c r="C152" s="935">
        <v>0</v>
      </c>
      <c r="D152" s="935">
        <v>0</v>
      </c>
      <c r="E152" s="935">
        <v>0</v>
      </c>
      <c r="F152" s="935">
        <v>0</v>
      </c>
      <c r="G152" s="935">
        <v>0</v>
      </c>
      <c r="H152" s="935">
        <v>0</v>
      </c>
      <c r="I152" s="935">
        <v>0</v>
      </c>
      <c r="J152" s="935">
        <v>0</v>
      </c>
      <c r="K152" s="935">
        <v>0</v>
      </c>
      <c r="L152" s="935">
        <v>0</v>
      </c>
      <c r="M152" s="935">
        <v>0</v>
      </c>
      <c r="N152" s="935">
        <v>0</v>
      </c>
      <c r="O152" s="935">
        <v>0</v>
      </c>
      <c r="P152" s="935">
        <v>0</v>
      </c>
      <c r="Q152" s="935">
        <v>0</v>
      </c>
      <c r="R152" s="935">
        <v>0</v>
      </c>
      <c r="S152" s="935">
        <v>0</v>
      </c>
      <c r="T152" s="935">
        <v>0</v>
      </c>
      <c r="U152" s="935">
        <v>0</v>
      </c>
      <c r="V152" s="935">
        <v>0</v>
      </c>
      <c r="W152" s="935">
        <f t="shared" si="19"/>
        <v>0</v>
      </c>
    </row>
    <row r="153" spans="2:23" hidden="1" x14ac:dyDescent="0.2">
      <c r="B153" s="3" t="s">
        <v>187</v>
      </c>
      <c r="C153" s="935">
        <v>0</v>
      </c>
      <c r="D153" s="935">
        <v>0</v>
      </c>
      <c r="E153" s="935">
        <v>0</v>
      </c>
      <c r="F153" s="935">
        <v>0</v>
      </c>
      <c r="G153" s="935">
        <v>0</v>
      </c>
      <c r="H153" s="935">
        <v>0</v>
      </c>
      <c r="I153" s="935">
        <v>0</v>
      </c>
      <c r="J153" s="935">
        <v>0</v>
      </c>
      <c r="K153" s="935">
        <v>0</v>
      </c>
      <c r="L153" s="935">
        <v>0</v>
      </c>
      <c r="M153" s="935">
        <v>0</v>
      </c>
      <c r="N153" s="935">
        <v>0</v>
      </c>
      <c r="O153" s="935">
        <v>0</v>
      </c>
      <c r="P153" s="935">
        <v>0</v>
      </c>
      <c r="Q153" s="935">
        <v>0</v>
      </c>
      <c r="R153" s="935">
        <v>0</v>
      </c>
      <c r="S153" s="935">
        <v>0</v>
      </c>
      <c r="T153" s="935">
        <v>0</v>
      </c>
      <c r="U153" s="935">
        <v>0</v>
      </c>
      <c r="V153" s="935">
        <v>0</v>
      </c>
      <c r="W153" s="935">
        <f t="shared" si="19"/>
        <v>0</v>
      </c>
    </row>
    <row r="154" spans="2:23" hidden="1" x14ac:dyDescent="0.2">
      <c r="B154" s="3" t="s">
        <v>188</v>
      </c>
      <c r="C154" s="935">
        <v>0</v>
      </c>
      <c r="D154" s="935">
        <v>0</v>
      </c>
      <c r="E154" s="935">
        <v>0</v>
      </c>
      <c r="F154" s="935">
        <v>0</v>
      </c>
      <c r="G154" s="935">
        <v>0</v>
      </c>
      <c r="H154" s="935">
        <v>0</v>
      </c>
      <c r="I154" s="935">
        <v>0</v>
      </c>
      <c r="J154" s="935">
        <v>0</v>
      </c>
      <c r="K154" s="935">
        <v>0</v>
      </c>
      <c r="L154" s="935">
        <v>0</v>
      </c>
      <c r="M154" s="935">
        <v>0</v>
      </c>
      <c r="N154" s="935">
        <v>0</v>
      </c>
      <c r="O154" s="935">
        <v>0</v>
      </c>
      <c r="P154" s="935">
        <v>0</v>
      </c>
      <c r="Q154" s="935">
        <v>0</v>
      </c>
      <c r="R154" s="935">
        <v>0</v>
      </c>
      <c r="S154" s="935">
        <v>0</v>
      </c>
      <c r="T154" s="935">
        <v>0</v>
      </c>
      <c r="U154" s="935">
        <v>0</v>
      </c>
      <c r="V154" s="935">
        <v>0</v>
      </c>
      <c r="W154" s="935">
        <f t="shared" si="19"/>
        <v>0</v>
      </c>
    </row>
    <row r="155" spans="2:23" hidden="1" x14ac:dyDescent="0.2">
      <c r="B155" s="3" t="s">
        <v>189</v>
      </c>
      <c r="C155" s="935">
        <v>0</v>
      </c>
      <c r="D155" s="935">
        <v>0</v>
      </c>
      <c r="E155" s="935">
        <v>0</v>
      </c>
      <c r="F155" s="935">
        <v>0</v>
      </c>
      <c r="G155" s="935">
        <v>0</v>
      </c>
      <c r="H155" s="935">
        <v>0</v>
      </c>
      <c r="I155" s="935">
        <v>0</v>
      </c>
      <c r="J155" s="935">
        <v>0</v>
      </c>
      <c r="K155" s="935">
        <v>0</v>
      </c>
      <c r="L155" s="935">
        <v>0</v>
      </c>
      <c r="M155" s="935">
        <v>0</v>
      </c>
      <c r="N155" s="935">
        <v>0</v>
      </c>
      <c r="O155" s="935">
        <v>0</v>
      </c>
      <c r="P155" s="935">
        <v>0</v>
      </c>
      <c r="Q155" s="935">
        <v>0</v>
      </c>
      <c r="R155" s="935">
        <v>0</v>
      </c>
      <c r="S155" s="935">
        <v>0</v>
      </c>
      <c r="T155" s="935">
        <v>0</v>
      </c>
      <c r="U155" s="935">
        <v>0</v>
      </c>
      <c r="V155" s="935">
        <v>0</v>
      </c>
      <c r="W155" s="935">
        <f t="shared" si="19"/>
        <v>0</v>
      </c>
    </row>
    <row r="156" spans="2:23" hidden="1" x14ac:dyDescent="0.2">
      <c r="B156" s="3" t="s">
        <v>190</v>
      </c>
      <c r="C156" s="935">
        <v>0</v>
      </c>
      <c r="D156" s="935">
        <v>0</v>
      </c>
      <c r="E156" s="935">
        <v>0</v>
      </c>
      <c r="F156" s="935">
        <v>0</v>
      </c>
      <c r="G156" s="935">
        <v>0</v>
      </c>
      <c r="H156" s="935">
        <v>0</v>
      </c>
      <c r="I156" s="935">
        <v>0</v>
      </c>
      <c r="J156" s="935">
        <v>0</v>
      </c>
      <c r="K156" s="935">
        <v>0</v>
      </c>
      <c r="L156" s="935">
        <v>0</v>
      </c>
      <c r="M156" s="935">
        <v>0</v>
      </c>
      <c r="N156" s="935">
        <v>0</v>
      </c>
      <c r="O156" s="935">
        <v>0</v>
      </c>
      <c r="P156" s="935">
        <v>0</v>
      </c>
      <c r="Q156" s="935">
        <v>0</v>
      </c>
      <c r="R156" s="935">
        <v>0</v>
      </c>
      <c r="S156" s="935">
        <v>0</v>
      </c>
      <c r="T156" s="935">
        <v>0</v>
      </c>
      <c r="U156" s="935">
        <v>0</v>
      </c>
      <c r="V156" s="935">
        <v>0</v>
      </c>
      <c r="W156" s="935">
        <f t="shared" si="19"/>
        <v>0</v>
      </c>
    </row>
    <row r="157" spans="2:23" hidden="1" x14ac:dyDescent="0.2">
      <c r="B157" s="3" t="s">
        <v>191</v>
      </c>
      <c r="C157" s="935">
        <v>0</v>
      </c>
      <c r="D157" s="935">
        <v>0</v>
      </c>
      <c r="E157" s="935">
        <v>0</v>
      </c>
      <c r="F157" s="935">
        <v>0</v>
      </c>
      <c r="G157" s="935">
        <v>0</v>
      </c>
      <c r="H157" s="935">
        <v>0</v>
      </c>
      <c r="I157" s="935">
        <v>0</v>
      </c>
      <c r="J157" s="935">
        <v>0</v>
      </c>
      <c r="K157" s="935">
        <v>0</v>
      </c>
      <c r="L157" s="935">
        <v>0</v>
      </c>
      <c r="M157" s="935">
        <v>0</v>
      </c>
      <c r="N157" s="935">
        <v>0</v>
      </c>
      <c r="O157" s="935">
        <v>0</v>
      </c>
      <c r="P157" s="935">
        <v>0</v>
      </c>
      <c r="Q157" s="935">
        <v>0</v>
      </c>
      <c r="R157" s="935">
        <v>0</v>
      </c>
      <c r="S157" s="935">
        <v>0</v>
      </c>
      <c r="T157" s="935">
        <v>0</v>
      </c>
      <c r="U157" s="935">
        <v>0</v>
      </c>
      <c r="V157" s="935">
        <v>0</v>
      </c>
      <c r="W157" s="935">
        <f t="shared" si="19"/>
        <v>0</v>
      </c>
    </row>
    <row r="158" spans="2:23" hidden="1" x14ac:dyDescent="0.2">
      <c r="B158" s="3" t="s">
        <v>192</v>
      </c>
      <c r="C158" s="935">
        <v>0</v>
      </c>
      <c r="D158" s="935">
        <v>0</v>
      </c>
      <c r="E158" s="935">
        <v>0</v>
      </c>
      <c r="F158" s="935">
        <v>0</v>
      </c>
      <c r="G158" s="935">
        <v>0</v>
      </c>
      <c r="H158" s="935">
        <v>0</v>
      </c>
      <c r="I158" s="935">
        <v>0</v>
      </c>
      <c r="J158" s="935">
        <v>0</v>
      </c>
      <c r="K158" s="935">
        <v>0</v>
      </c>
      <c r="L158" s="935">
        <v>0</v>
      </c>
      <c r="M158" s="935">
        <v>0</v>
      </c>
      <c r="N158" s="935">
        <v>0</v>
      </c>
      <c r="O158" s="935">
        <v>0</v>
      </c>
      <c r="P158" s="935">
        <v>0</v>
      </c>
      <c r="Q158" s="935">
        <v>0</v>
      </c>
      <c r="R158" s="935">
        <v>0</v>
      </c>
      <c r="S158" s="935">
        <v>0</v>
      </c>
      <c r="T158" s="935">
        <v>0</v>
      </c>
      <c r="U158" s="935">
        <v>0</v>
      </c>
      <c r="V158" s="935">
        <v>0</v>
      </c>
      <c r="W158" s="935">
        <f t="shared" si="19"/>
        <v>0</v>
      </c>
    </row>
    <row r="159" spans="2:23" hidden="1" x14ac:dyDescent="0.2">
      <c r="B159" s="3" t="s">
        <v>193</v>
      </c>
      <c r="C159" s="935">
        <v>0</v>
      </c>
      <c r="D159" s="935">
        <v>0</v>
      </c>
      <c r="E159" s="935">
        <v>0</v>
      </c>
      <c r="F159" s="935">
        <v>0</v>
      </c>
      <c r="G159" s="935">
        <v>0</v>
      </c>
      <c r="H159" s="935">
        <v>0</v>
      </c>
      <c r="I159" s="935">
        <v>0</v>
      </c>
      <c r="J159" s="935">
        <v>0</v>
      </c>
      <c r="K159" s="935">
        <v>0</v>
      </c>
      <c r="L159" s="935">
        <v>0</v>
      </c>
      <c r="M159" s="935">
        <v>0</v>
      </c>
      <c r="N159" s="935">
        <v>0</v>
      </c>
      <c r="O159" s="935">
        <v>0</v>
      </c>
      <c r="P159" s="935">
        <v>0</v>
      </c>
      <c r="Q159" s="935">
        <v>0</v>
      </c>
      <c r="R159" s="935">
        <v>0</v>
      </c>
      <c r="S159" s="935">
        <v>0</v>
      </c>
      <c r="T159" s="935">
        <v>0</v>
      </c>
      <c r="U159" s="935">
        <v>0</v>
      </c>
      <c r="V159" s="935">
        <v>0</v>
      </c>
      <c r="W159" s="935">
        <f t="shared" si="19"/>
        <v>0</v>
      </c>
    </row>
    <row r="160" spans="2:23" hidden="1" x14ac:dyDescent="0.2">
      <c r="B160" s="3" t="s">
        <v>194</v>
      </c>
      <c r="C160" s="935">
        <v>0</v>
      </c>
      <c r="D160" s="935">
        <v>0</v>
      </c>
      <c r="E160" s="935">
        <v>0</v>
      </c>
      <c r="F160" s="935">
        <v>0</v>
      </c>
      <c r="G160" s="935">
        <v>0</v>
      </c>
      <c r="H160" s="935">
        <v>0</v>
      </c>
      <c r="I160" s="935">
        <v>0</v>
      </c>
      <c r="J160" s="935">
        <v>0</v>
      </c>
      <c r="K160" s="935">
        <v>0</v>
      </c>
      <c r="L160" s="935">
        <v>0</v>
      </c>
      <c r="M160" s="935">
        <v>0</v>
      </c>
      <c r="N160" s="935">
        <v>0</v>
      </c>
      <c r="O160" s="935">
        <v>0</v>
      </c>
      <c r="P160" s="935">
        <v>0</v>
      </c>
      <c r="Q160" s="935">
        <v>0</v>
      </c>
      <c r="R160" s="935">
        <v>0</v>
      </c>
      <c r="S160" s="935">
        <v>0</v>
      </c>
      <c r="T160" s="935">
        <v>0</v>
      </c>
      <c r="U160" s="935">
        <v>0</v>
      </c>
      <c r="V160" s="935">
        <v>0</v>
      </c>
      <c r="W160" s="935">
        <f t="shared" si="19"/>
        <v>0</v>
      </c>
    </row>
    <row r="161" spans="2:23" hidden="1" x14ac:dyDescent="0.2">
      <c r="B161" s="3" t="s">
        <v>195</v>
      </c>
      <c r="C161" s="935">
        <v>0</v>
      </c>
      <c r="D161" s="935">
        <v>0</v>
      </c>
      <c r="E161" s="935">
        <v>0</v>
      </c>
      <c r="F161" s="935">
        <v>0</v>
      </c>
      <c r="G161" s="935">
        <v>0</v>
      </c>
      <c r="H161" s="935">
        <v>0</v>
      </c>
      <c r="I161" s="935">
        <v>0</v>
      </c>
      <c r="J161" s="935">
        <v>0</v>
      </c>
      <c r="K161" s="935">
        <v>0</v>
      </c>
      <c r="L161" s="935">
        <v>0</v>
      </c>
      <c r="M161" s="935">
        <v>0</v>
      </c>
      <c r="N161" s="935">
        <v>0</v>
      </c>
      <c r="O161" s="935">
        <v>0</v>
      </c>
      <c r="P161" s="935">
        <v>0</v>
      </c>
      <c r="Q161" s="935">
        <v>0</v>
      </c>
      <c r="R161" s="935">
        <v>0</v>
      </c>
      <c r="S161" s="935">
        <v>0</v>
      </c>
      <c r="T161" s="935">
        <v>0</v>
      </c>
      <c r="U161" s="935">
        <v>0</v>
      </c>
      <c r="V161" s="935">
        <v>0</v>
      </c>
      <c r="W161" s="935">
        <f t="shared" si="19"/>
        <v>0</v>
      </c>
    </row>
    <row r="162" spans="2:23" hidden="1" x14ac:dyDescent="0.2">
      <c r="B162" s="3" t="s">
        <v>196</v>
      </c>
      <c r="C162" s="935">
        <v>0</v>
      </c>
      <c r="D162" s="935">
        <v>0</v>
      </c>
      <c r="E162" s="935">
        <v>0</v>
      </c>
      <c r="F162" s="935">
        <v>0</v>
      </c>
      <c r="G162" s="935">
        <v>0</v>
      </c>
      <c r="H162" s="935">
        <v>0</v>
      </c>
      <c r="I162" s="935">
        <v>0</v>
      </c>
      <c r="J162" s="935">
        <v>0</v>
      </c>
      <c r="K162" s="935">
        <v>0</v>
      </c>
      <c r="L162" s="935">
        <v>0</v>
      </c>
      <c r="M162" s="935">
        <v>0</v>
      </c>
      <c r="N162" s="935">
        <v>0</v>
      </c>
      <c r="O162" s="935">
        <v>0</v>
      </c>
      <c r="P162" s="935">
        <v>0</v>
      </c>
      <c r="Q162" s="935">
        <v>0</v>
      </c>
      <c r="R162" s="935">
        <v>0</v>
      </c>
      <c r="S162" s="935">
        <v>0</v>
      </c>
      <c r="T162" s="935">
        <v>0</v>
      </c>
      <c r="U162" s="935">
        <v>0</v>
      </c>
      <c r="V162" s="935">
        <v>0</v>
      </c>
      <c r="W162" s="935">
        <f t="shared" si="19"/>
        <v>0</v>
      </c>
    </row>
    <row r="163" spans="2:23" hidden="1" x14ac:dyDescent="0.2">
      <c r="B163" s="3" t="s">
        <v>197</v>
      </c>
      <c r="C163" s="935">
        <v>0</v>
      </c>
      <c r="D163" s="935">
        <v>0</v>
      </c>
      <c r="E163" s="935">
        <v>0</v>
      </c>
      <c r="F163" s="935">
        <v>0</v>
      </c>
      <c r="G163" s="935">
        <v>0</v>
      </c>
      <c r="H163" s="935">
        <v>0</v>
      </c>
      <c r="I163" s="935">
        <v>0</v>
      </c>
      <c r="J163" s="935">
        <v>0</v>
      </c>
      <c r="K163" s="935">
        <v>0</v>
      </c>
      <c r="L163" s="935">
        <v>0</v>
      </c>
      <c r="M163" s="935">
        <v>0</v>
      </c>
      <c r="N163" s="935">
        <v>0</v>
      </c>
      <c r="O163" s="935">
        <v>0</v>
      </c>
      <c r="P163" s="935">
        <v>0</v>
      </c>
      <c r="Q163" s="935">
        <v>0</v>
      </c>
      <c r="R163" s="935">
        <v>0</v>
      </c>
      <c r="S163" s="935">
        <v>0</v>
      </c>
      <c r="T163" s="935">
        <v>0</v>
      </c>
      <c r="U163" s="935">
        <v>0</v>
      </c>
      <c r="V163" s="935">
        <v>0</v>
      </c>
      <c r="W163" s="935">
        <f t="shared" si="19"/>
        <v>0</v>
      </c>
    </row>
    <row r="164" spans="2:23" hidden="1" x14ac:dyDescent="0.2">
      <c r="B164" s="3" t="s">
        <v>198</v>
      </c>
      <c r="C164" s="935">
        <v>0</v>
      </c>
      <c r="D164" s="935">
        <v>0</v>
      </c>
      <c r="E164" s="935">
        <v>0</v>
      </c>
      <c r="F164" s="935">
        <v>0</v>
      </c>
      <c r="G164" s="935">
        <v>0</v>
      </c>
      <c r="H164" s="935">
        <v>0</v>
      </c>
      <c r="I164" s="935">
        <v>0</v>
      </c>
      <c r="J164" s="935">
        <v>0</v>
      </c>
      <c r="K164" s="935">
        <v>0</v>
      </c>
      <c r="L164" s="935">
        <v>0</v>
      </c>
      <c r="M164" s="935">
        <v>0</v>
      </c>
      <c r="N164" s="935">
        <v>0</v>
      </c>
      <c r="O164" s="935">
        <v>0</v>
      </c>
      <c r="P164" s="935">
        <v>0</v>
      </c>
      <c r="Q164" s="935">
        <v>0</v>
      </c>
      <c r="R164" s="935">
        <v>0</v>
      </c>
      <c r="S164" s="935">
        <v>0</v>
      </c>
      <c r="T164" s="935">
        <v>0</v>
      </c>
      <c r="U164" s="935">
        <v>0</v>
      </c>
      <c r="V164" s="935">
        <v>0</v>
      </c>
      <c r="W164" s="935">
        <f t="shared" si="19"/>
        <v>0</v>
      </c>
    </row>
    <row r="165" spans="2:23" hidden="1" x14ac:dyDescent="0.2">
      <c r="B165" s="3" t="s">
        <v>199</v>
      </c>
      <c r="C165" s="935">
        <v>0</v>
      </c>
      <c r="D165" s="935">
        <v>0</v>
      </c>
      <c r="E165" s="935">
        <v>0</v>
      </c>
      <c r="F165" s="935">
        <v>0</v>
      </c>
      <c r="G165" s="935">
        <v>0</v>
      </c>
      <c r="H165" s="935">
        <v>0</v>
      </c>
      <c r="I165" s="935">
        <v>0</v>
      </c>
      <c r="J165" s="935">
        <v>0</v>
      </c>
      <c r="K165" s="935">
        <v>0</v>
      </c>
      <c r="L165" s="935">
        <v>0</v>
      </c>
      <c r="M165" s="935">
        <v>0</v>
      </c>
      <c r="N165" s="935">
        <v>0</v>
      </c>
      <c r="O165" s="935">
        <v>0</v>
      </c>
      <c r="P165" s="935">
        <v>0</v>
      </c>
      <c r="Q165" s="935">
        <v>0</v>
      </c>
      <c r="R165" s="935">
        <v>0</v>
      </c>
      <c r="S165" s="935">
        <v>0</v>
      </c>
      <c r="T165" s="935">
        <v>0</v>
      </c>
      <c r="U165" s="935">
        <v>0</v>
      </c>
      <c r="V165" s="935">
        <v>0</v>
      </c>
      <c r="W165" s="935">
        <f t="shared" si="19"/>
        <v>0</v>
      </c>
    </row>
    <row r="166" spans="2:23" hidden="1" x14ac:dyDescent="0.2">
      <c r="B166" s="3" t="s">
        <v>200</v>
      </c>
      <c r="C166" s="935">
        <v>0</v>
      </c>
      <c r="D166" s="935">
        <v>0</v>
      </c>
      <c r="E166" s="935">
        <v>0</v>
      </c>
      <c r="F166" s="935">
        <v>0</v>
      </c>
      <c r="G166" s="935">
        <v>0</v>
      </c>
      <c r="H166" s="935">
        <v>0</v>
      </c>
      <c r="I166" s="935">
        <v>0</v>
      </c>
      <c r="J166" s="935">
        <v>0</v>
      </c>
      <c r="K166" s="935">
        <v>0</v>
      </c>
      <c r="L166" s="935">
        <v>0</v>
      </c>
      <c r="M166" s="935">
        <v>0</v>
      </c>
      <c r="N166" s="935">
        <v>0</v>
      </c>
      <c r="O166" s="935">
        <v>0</v>
      </c>
      <c r="P166" s="935">
        <v>0</v>
      </c>
      <c r="Q166" s="935">
        <v>0</v>
      </c>
      <c r="R166" s="935">
        <v>0</v>
      </c>
      <c r="S166" s="935">
        <v>0</v>
      </c>
      <c r="T166" s="935">
        <v>0</v>
      </c>
      <c r="U166" s="935">
        <v>0</v>
      </c>
      <c r="V166" s="935">
        <v>0</v>
      </c>
      <c r="W166" s="935">
        <f t="shared" si="19"/>
        <v>0</v>
      </c>
    </row>
    <row r="167" spans="2:23" hidden="1" x14ac:dyDescent="0.2">
      <c r="B167" s="3" t="s">
        <v>201</v>
      </c>
      <c r="C167" s="935">
        <v>0</v>
      </c>
      <c r="D167" s="935">
        <v>0</v>
      </c>
      <c r="E167" s="935">
        <v>0</v>
      </c>
      <c r="F167" s="935">
        <v>0</v>
      </c>
      <c r="G167" s="935">
        <v>0</v>
      </c>
      <c r="H167" s="935">
        <v>0</v>
      </c>
      <c r="I167" s="935">
        <v>0</v>
      </c>
      <c r="J167" s="935">
        <v>0</v>
      </c>
      <c r="K167" s="935">
        <v>0</v>
      </c>
      <c r="L167" s="935">
        <v>0</v>
      </c>
      <c r="M167" s="935">
        <v>0</v>
      </c>
      <c r="N167" s="935">
        <v>0</v>
      </c>
      <c r="O167" s="935">
        <v>0</v>
      </c>
      <c r="P167" s="935">
        <v>0</v>
      </c>
      <c r="Q167" s="935">
        <v>0</v>
      </c>
      <c r="R167" s="935">
        <v>0</v>
      </c>
      <c r="S167" s="935">
        <v>0</v>
      </c>
      <c r="T167" s="935">
        <v>0</v>
      </c>
      <c r="U167" s="935">
        <v>0</v>
      </c>
      <c r="V167" s="935">
        <v>0</v>
      </c>
      <c r="W167" s="935">
        <f t="shared" si="19"/>
        <v>0</v>
      </c>
    </row>
    <row r="168" spans="2:23" hidden="1" x14ac:dyDescent="0.2">
      <c r="B168" s="3" t="s">
        <v>202</v>
      </c>
      <c r="C168" s="935">
        <v>0</v>
      </c>
      <c r="D168" s="935">
        <v>0</v>
      </c>
      <c r="E168" s="935">
        <v>0</v>
      </c>
      <c r="F168" s="935">
        <v>0</v>
      </c>
      <c r="G168" s="935">
        <v>0</v>
      </c>
      <c r="H168" s="935">
        <v>0</v>
      </c>
      <c r="I168" s="935">
        <v>0</v>
      </c>
      <c r="J168" s="935">
        <v>0</v>
      </c>
      <c r="K168" s="935">
        <v>0</v>
      </c>
      <c r="L168" s="935">
        <v>0</v>
      </c>
      <c r="M168" s="935">
        <v>0</v>
      </c>
      <c r="N168" s="935">
        <v>0</v>
      </c>
      <c r="O168" s="935">
        <v>0</v>
      </c>
      <c r="P168" s="935">
        <v>0</v>
      </c>
      <c r="Q168" s="935">
        <v>0</v>
      </c>
      <c r="R168" s="935">
        <v>0</v>
      </c>
      <c r="S168" s="935">
        <v>0</v>
      </c>
      <c r="T168" s="935">
        <v>0</v>
      </c>
      <c r="U168" s="935">
        <v>0</v>
      </c>
      <c r="V168" s="935">
        <v>0</v>
      </c>
      <c r="W168" s="935">
        <f t="shared" si="19"/>
        <v>0</v>
      </c>
    </row>
    <row r="169" spans="2:23" hidden="1" x14ac:dyDescent="0.2">
      <c r="B169" s="3" t="s">
        <v>203</v>
      </c>
      <c r="C169" s="935">
        <v>0</v>
      </c>
      <c r="D169" s="935">
        <v>0</v>
      </c>
      <c r="E169" s="935">
        <v>0</v>
      </c>
      <c r="F169" s="935">
        <v>0</v>
      </c>
      <c r="G169" s="935">
        <v>0</v>
      </c>
      <c r="H169" s="935">
        <v>0</v>
      </c>
      <c r="I169" s="935">
        <v>0</v>
      </c>
      <c r="J169" s="935">
        <v>0</v>
      </c>
      <c r="K169" s="935">
        <v>0</v>
      </c>
      <c r="L169" s="935">
        <v>0</v>
      </c>
      <c r="M169" s="935">
        <v>0</v>
      </c>
      <c r="N169" s="935">
        <v>0</v>
      </c>
      <c r="O169" s="935">
        <v>0</v>
      </c>
      <c r="P169" s="935">
        <v>0</v>
      </c>
      <c r="Q169" s="935">
        <v>0</v>
      </c>
      <c r="R169" s="935">
        <v>0</v>
      </c>
      <c r="S169" s="935">
        <v>0</v>
      </c>
      <c r="T169" s="935">
        <v>0</v>
      </c>
      <c r="U169" s="935">
        <v>0</v>
      </c>
      <c r="V169" s="935">
        <v>0</v>
      </c>
      <c r="W169" s="935">
        <f t="shared" si="19"/>
        <v>0</v>
      </c>
    </row>
    <row r="170" spans="2:23" hidden="1" x14ac:dyDescent="0.2">
      <c r="B170" s="3" t="s">
        <v>204</v>
      </c>
      <c r="C170" s="935">
        <v>0</v>
      </c>
      <c r="D170" s="935">
        <v>0</v>
      </c>
      <c r="E170" s="935">
        <v>0</v>
      </c>
      <c r="F170" s="935">
        <v>0</v>
      </c>
      <c r="G170" s="935">
        <v>0</v>
      </c>
      <c r="H170" s="935">
        <v>0</v>
      </c>
      <c r="I170" s="935">
        <v>0</v>
      </c>
      <c r="J170" s="935">
        <v>0</v>
      </c>
      <c r="K170" s="935">
        <v>0</v>
      </c>
      <c r="L170" s="935">
        <v>0</v>
      </c>
      <c r="M170" s="935">
        <v>0</v>
      </c>
      <c r="N170" s="935">
        <v>0</v>
      </c>
      <c r="O170" s="935">
        <v>0</v>
      </c>
      <c r="P170" s="935">
        <v>0</v>
      </c>
      <c r="Q170" s="935">
        <v>0</v>
      </c>
      <c r="R170" s="935">
        <v>0</v>
      </c>
      <c r="S170" s="935">
        <v>0</v>
      </c>
      <c r="T170" s="935">
        <v>0</v>
      </c>
      <c r="U170" s="935">
        <v>0</v>
      </c>
      <c r="V170" s="935">
        <v>0</v>
      </c>
      <c r="W170" s="935">
        <f t="shared" si="19"/>
        <v>0</v>
      </c>
    </row>
    <row r="171" spans="2:23" hidden="1" x14ac:dyDescent="0.2">
      <c r="B171" s="3" t="s">
        <v>205</v>
      </c>
      <c r="C171" s="935">
        <v>0</v>
      </c>
      <c r="D171" s="935">
        <v>0</v>
      </c>
      <c r="E171" s="935">
        <v>0</v>
      </c>
      <c r="F171" s="935">
        <v>0</v>
      </c>
      <c r="G171" s="935">
        <v>0</v>
      </c>
      <c r="H171" s="935">
        <v>0</v>
      </c>
      <c r="I171" s="935">
        <v>0</v>
      </c>
      <c r="J171" s="935">
        <v>0</v>
      </c>
      <c r="K171" s="935">
        <v>0</v>
      </c>
      <c r="L171" s="935">
        <v>0</v>
      </c>
      <c r="M171" s="935">
        <v>0</v>
      </c>
      <c r="N171" s="935">
        <v>0</v>
      </c>
      <c r="O171" s="935">
        <v>0</v>
      </c>
      <c r="P171" s="935">
        <v>0</v>
      </c>
      <c r="Q171" s="935">
        <v>0</v>
      </c>
      <c r="R171" s="935">
        <v>0</v>
      </c>
      <c r="S171" s="935">
        <v>0</v>
      </c>
      <c r="T171" s="935">
        <v>0</v>
      </c>
      <c r="U171" s="935">
        <v>0</v>
      </c>
      <c r="V171" s="935">
        <v>0</v>
      </c>
      <c r="W171" s="935">
        <f t="shared" si="19"/>
        <v>0</v>
      </c>
    </row>
    <row r="172" spans="2:23" hidden="1" x14ac:dyDescent="0.2">
      <c r="B172" s="3" t="s">
        <v>206</v>
      </c>
      <c r="C172" s="935">
        <v>0</v>
      </c>
      <c r="D172" s="935">
        <v>0</v>
      </c>
      <c r="E172" s="935">
        <v>0</v>
      </c>
      <c r="F172" s="935">
        <v>0</v>
      </c>
      <c r="G172" s="935">
        <v>0</v>
      </c>
      <c r="H172" s="935">
        <v>0</v>
      </c>
      <c r="I172" s="935">
        <v>0</v>
      </c>
      <c r="J172" s="935">
        <v>0</v>
      </c>
      <c r="K172" s="935">
        <v>0</v>
      </c>
      <c r="L172" s="935">
        <v>0</v>
      </c>
      <c r="M172" s="935">
        <v>0</v>
      </c>
      <c r="N172" s="935">
        <v>0</v>
      </c>
      <c r="O172" s="935">
        <v>0</v>
      </c>
      <c r="P172" s="935">
        <v>0</v>
      </c>
      <c r="Q172" s="935">
        <v>0</v>
      </c>
      <c r="R172" s="935">
        <v>0</v>
      </c>
      <c r="S172" s="935">
        <v>0</v>
      </c>
      <c r="T172" s="935">
        <v>0</v>
      </c>
      <c r="U172" s="935">
        <v>0</v>
      </c>
      <c r="V172" s="935">
        <v>0</v>
      </c>
      <c r="W172" s="935">
        <f t="shared" si="19"/>
        <v>0</v>
      </c>
    </row>
    <row r="173" spans="2:23" hidden="1" x14ac:dyDescent="0.2">
      <c r="B173" s="3" t="s">
        <v>207</v>
      </c>
      <c r="C173" s="935">
        <v>0</v>
      </c>
      <c r="D173" s="935">
        <v>0</v>
      </c>
      <c r="E173" s="935">
        <v>0</v>
      </c>
      <c r="F173" s="935">
        <v>0</v>
      </c>
      <c r="G173" s="935">
        <v>0</v>
      </c>
      <c r="H173" s="935">
        <v>0</v>
      </c>
      <c r="I173" s="935">
        <v>0</v>
      </c>
      <c r="J173" s="935">
        <v>0</v>
      </c>
      <c r="K173" s="935">
        <v>0</v>
      </c>
      <c r="L173" s="935">
        <v>0</v>
      </c>
      <c r="M173" s="935">
        <v>0</v>
      </c>
      <c r="N173" s="935">
        <v>0</v>
      </c>
      <c r="O173" s="935">
        <v>0</v>
      </c>
      <c r="P173" s="935">
        <v>0</v>
      </c>
      <c r="Q173" s="935">
        <v>0</v>
      </c>
      <c r="R173" s="935">
        <v>0</v>
      </c>
      <c r="S173" s="935">
        <v>0</v>
      </c>
      <c r="T173" s="935">
        <v>0</v>
      </c>
      <c r="U173" s="935">
        <v>0</v>
      </c>
      <c r="V173" s="935">
        <v>0</v>
      </c>
      <c r="W173" s="935">
        <f t="shared" si="19"/>
        <v>0</v>
      </c>
    </row>
    <row r="174" spans="2:23" hidden="1" x14ac:dyDescent="0.2">
      <c r="B174" s="3" t="s">
        <v>208</v>
      </c>
      <c r="C174" s="935">
        <v>0</v>
      </c>
      <c r="D174" s="935">
        <v>0</v>
      </c>
      <c r="E174" s="935">
        <v>0</v>
      </c>
      <c r="F174" s="935">
        <v>0</v>
      </c>
      <c r="G174" s="935">
        <v>0</v>
      </c>
      <c r="H174" s="935">
        <v>0</v>
      </c>
      <c r="I174" s="935">
        <v>0</v>
      </c>
      <c r="J174" s="935">
        <v>0</v>
      </c>
      <c r="K174" s="935">
        <v>0</v>
      </c>
      <c r="L174" s="935">
        <v>0</v>
      </c>
      <c r="M174" s="935">
        <v>0</v>
      </c>
      <c r="N174" s="935">
        <v>0</v>
      </c>
      <c r="O174" s="935">
        <v>0</v>
      </c>
      <c r="P174" s="935">
        <v>0</v>
      </c>
      <c r="Q174" s="935">
        <v>0</v>
      </c>
      <c r="R174" s="935">
        <v>0</v>
      </c>
      <c r="S174" s="935">
        <v>0</v>
      </c>
      <c r="T174" s="935">
        <v>0</v>
      </c>
      <c r="U174" s="935">
        <v>0</v>
      </c>
      <c r="V174" s="935">
        <v>0</v>
      </c>
      <c r="W174" s="935">
        <f t="shared" si="19"/>
        <v>0</v>
      </c>
    </row>
    <row r="175" spans="2:23" hidden="1" x14ac:dyDescent="0.2">
      <c r="B175" s="3" t="s">
        <v>209</v>
      </c>
      <c r="C175" s="935">
        <v>0</v>
      </c>
      <c r="D175" s="935">
        <v>0</v>
      </c>
      <c r="E175" s="935">
        <v>0</v>
      </c>
      <c r="F175" s="935">
        <v>0</v>
      </c>
      <c r="G175" s="935">
        <v>0</v>
      </c>
      <c r="H175" s="935">
        <v>0</v>
      </c>
      <c r="I175" s="935">
        <v>0</v>
      </c>
      <c r="J175" s="935">
        <v>0</v>
      </c>
      <c r="K175" s="935">
        <v>0</v>
      </c>
      <c r="L175" s="935">
        <v>0</v>
      </c>
      <c r="M175" s="935">
        <v>0</v>
      </c>
      <c r="N175" s="935">
        <v>0</v>
      </c>
      <c r="O175" s="935">
        <v>0</v>
      </c>
      <c r="P175" s="935">
        <v>0</v>
      </c>
      <c r="Q175" s="935">
        <v>0</v>
      </c>
      <c r="R175" s="935">
        <v>0</v>
      </c>
      <c r="S175" s="935">
        <v>0</v>
      </c>
      <c r="T175" s="935">
        <v>0</v>
      </c>
      <c r="U175" s="935">
        <v>0</v>
      </c>
      <c r="V175" s="935">
        <v>0</v>
      </c>
      <c r="W175" s="935">
        <f t="shared" si="19"/>
        <v>0</v>
      </c>
    </row>
    <row r="176" spans="2:23" hidden="1" x14ac:dyDescent="0.2">
      <c r="B176" s="3" t="s">
        <v>210</v>
      </c>
      <c r="C176" s="935">
        <v>0</v>
      </c>
      <c r="D176" s="935">
        <v>0</v>
      </c>
      <c r="E176" s="935">
        <v>0</v>
      </c>
      <c r="F176" s="935">
        <v>0</v>
      </c>
      <c r="G176" s="935">
        <v>0</v>
      </c>
      <c r="H176" s="935">
        <v>0</v>
      </c>
      <c r="I176" s="935">
        <v>0</v>
      </c>
      <c r="J176" s="935">
        <v>0</v>
      </c>
      <c r="K176" s="935">
        <v>0</v>
      </c>
      <c r="L176" s="935">
        <v>0</v>
      </c>
      <c r="M176" s="935">
        <v>0</v>
      </c>
      <c r="N176" s="935">
        <v>0</v>
      </c>
      <c r="O176" s="935">
        <v>0</v>
      </c>
      <c r="P176" s="935">
        <v>0</v>
      </c>
      <c r="Q176" s="935">
        <v>0</v>
      </c>
      <c r="R176" s="935">
        <v>0</v>
      </c>
      <c r="S176" s="935">
        <v>0</v>
      </c>
      <c r="T176" s="935">
        <v>0</v>
      </c>
      <c r="U176" s="935">
        <v>0</v>
      </c>
      <c r="V176" s="935">
        <v>0</v>
      </c>
      <c r="W176" s="935">
        <f t="shared" ref="W176:W233" si="20">SUM(C176:V176)</f>
        <v>0</v>
      </c>
    </row>
    <row r="177" spans="1:23" hidden="1" x14ac:dyDescent="0.2">
      <c r="B177" s="3" t="s">
        <v>211</v>
      </c>
      <c r="C177" s="935">
        <v>0</v>
      </c>
      <c r="D177" s="935">
        <v>0</v>
      </c>
      <c r="E177" s="935">
        <v>0</v>
      </c>
      <c r="F177" s="935">
        <v>0</v>
      </c>
      <c r="G177" s="935">
        <v>0</v>
      </c>
      <c r="H177" s="935">
        <v>0</v>
      </c>
      <c r="I177" s="935">
        <v>0</v>
      </c>
      <c r="J177" s="935">
        <v>0</v>
      </c>
      <c r="K177" s="935">
        <v>0</v>
      </c>
      <c r="L177" s="935">
        <v>0</v>
      </c>
      <c r="M177" s="935">
        <v>0</v>
      </c>
      <c r="N177" s="935">
        <v>0</v>
      </c>
      <c r="O177" s="935">
        <v>0</v>
      </c>
      <c r="P177" s="935">
        <v>0</v>
      </c>
      <c r="Q177" s="935">
        <v>0</v>
      </c>
      <c r="R177" s="935">
        <v>0</v>
      </c>
      <c r="S177" s="935">
        <v>0</v>
      </c>
      <c r="T177" s="935">
        <v>0</v>
      </c>
      <c r="U177" s="935">
        <v>0</v>
      </c>
      <c r="V177" s="935">
        <v>0</v>
      </c>
      <c r="W177" s="935">
        <f t="shared" si="20"/>
        <v>0</v>
      </c>
    </row>
    <row r="178" spans="1:23" hidden="1" x14ac:dyDescent="0.2">
      <c r="B178" s="3" t="s">
        <v>212</v>
      </c>
      <c r="C178" s="935">
        <v>0</v>
      </c>
      <c r="D178" s="935">
        <v>0</v>
      </c>
      <c r="E178" s="935">
        <v>0</v>
      </c>
      <c r="F178" s="935">
        <v>0</v>
      </c>
      <c r="G178" s="935">
        <v>0</v>
      </c>
      <c r="H178" s="935">
        <v>0</v>
      </c>
      <c r="I178" s="935">
        <v>0</v>
      </c>
      <c r="J178" s="935">
        <v>0</v>
      </c>
      <c r="K178" s="935">
        <v>0</v>
      </c>
      <c r="L178" s="935">
        <v>0</v>
      </c>
      <c r="M178" s="935">
        <v>0</v>
      </c>
      <c r="N178" s="935">
        <v>0</v>
      </c>
      <c r="O178" s="935">
        <v>0</v>
      </c>
      <c r="P178" s="935">
        <v>0</v>
      </c>
      <c r="Q178" s="935">
        <v>0</v>
      </c>
      <c r="R178" s="935">
        <v>0</v>
      </c>
      <c r="S178" s="935">
        <v>0</v>
      </c>
      <c r="T178" s="935">
        <v>0</v>
      </c>
      <c r="U178" s="935">
        <v>0</v>
      </c>
      <c r="V178" s="935">
        <v>0</v>
      </c>
      <c r="W178" s="935">
        <f t="shared" si="20"/>
        <v>0</v>
      </c>
    </row>
    <row r="179" spans="1:23" hidden="1" x14ac:dyDescent="0.2">
      <c r="B179" s="3" t="s">
        <v>213</v>
      </c>
      <c r="C179" s="935">
        <v>0</v>
      </c>
      <c r="D179" s="935">
        <v>0</v>
      </c>
      <c r="E179" s="935">
        <v>0</v>
      </c>
      <c r="F179" s="935">
        <v>0</v>
      </c>
      <c r="G179" s="935">
        <v>0</v>
      </c>
      <c r="H179" s="935">
        <v>0</v>
      </c>
      <c r="I179" s="935">
        <v>0</v>
      </c>
      <c r="J179" s="935">
        <v>0</v>
      </c>
      <c r="K179" s="935">
        <v>0</v>
      </c>
      <c r="L179" s="935">
        <v>0</v>
      </c>
      <c r="M179" s="935">
        <v>0</v>
      </c>
      <c r="N179" s="935">
        <v>0</v>
      </c>
      <c r="O179" s="935">
        <v>0</v>
      </c>
      <c r="P179" s="935">
        <v>0</v>
      </c>
      <c r="Q179" s="935">
        <v>0</v>
      </c>
      <c r="R179" s="935">
        <v>0</v>
      </c>
      <c r="S179" s="935">
        <v>0</v>
      </c>
      <c r="T179" s="935">
        <v>0</v>
      </c>
      <c r="U179" s="935">
        <v>0</v>
      </c>
      <c r="V179" s="935">
        <v>0</v>
      </c>
      <c r="W179" s="935">
        <f t="shared" si="20"/>
        <v>0</v>
      </c>
    </row>
    <row r="180" spans="1:23" hidden="1" x14ac:dyDescent="0.2">
      <c r="B180" s="3" t="s">
        <v>214</v>
      </c>
      <c r="C180" s="935">
        <v>0</v>
      </c>
      <c r="D180" s="935">
        <v>0</v>
      </c>
      <c r="E180" s="935">
        <v>0</v>
      </c>
      <c r="F180" s="935">
        <v>0</v>
      </c>
      <c r="G180" s="935">
        <v>0</v>
      </c>
      <c r="H180" s="935">
        <v>0</v>
      </c>
      <c r="I180" s="935">
        <v>0</v>
      </c>
      <c r="J180" s="935">
        <v>0</v>
      </c>
      <c r="K180" s="935">
        <v>0</v>
      </c>
      <c r="L180" s="935">
        <v>0</v>
      </c>
      <c r="M180" s="935">
        <v>0</v>
      </c>
      <c r="N180" s="935">
        <v>0</v>
      </c>
      <c r="O180" s="935">
        <v>0</v>
      </c>
      <c r="P180" s="935">
        <v>0</v>
      </c>
      <c r="Q180" s="935">
        <v>0</v>
      </c>
      <c r="R180" s="935">
        <v>0</v>
      </c>
      <c r="S180" s="935">
        <v>0</v>
      </c>
      <c r="T180" s="935">
        <v>0</v>
      </c>
      <c r="U180" s="935">
        <v>0</v>
      </c>
      <c r="V180" s="935">
        <v>0</v>
      </c>
      <c r="W180" s="935">
        <f t="shared" si="20"/>
        <v>0</v>
      </c>
    </row>
    <row r="181" spans="1:23" hidden="1" x14ac:dyDescent="0.2">
      <c r="B181" s="3" t="s">
        <v>215</v>
      </c>
      <c r="C181" s="935">
        <v>0</v>
      </c>
      <c r="D181" s="935">
        <v>0</v>
      </c>
      <c r="E181" s="935">
        <v>0</v>
      </c>
      <c r="F181" s="935">
        <v>0</v>
      </c>
      <c r="G181" s="935">
        <v>0</v>
      </c>
      <c r="H181" s="935">
        <v>0</v>
      </c>
      <c r="I181" s="935">
        <v>0</v>
      </c>
      <c r="J181" s="935">
        <v>0</v>
      </c>
      <c r="K181" s="935">
        <v>0</v>
      </c>
      <c r="L181" s="935">
        <v>0</v>
      </c>
      <c r="M181" s="935">
        <v>0</v>
      </c>
      <c r="N181" s="935">
        <v>0</v>
      </c>
      <c r="O181" s="935">
        <v>0</v>
      </c>
      <c r="P181" s="935">
        <v>0</v>
      </c>
      <c r="Q181" s="935">
        <v>0</v>
      </c>
      <c r="R181" s="935">
        <v>0</v>
      </c>
      <c r="S181" s="935">
        <v>0</v>
      </c>
      <c r="T181" s="935">
        <v>0</v>
      </c>
      <c r="U181" s="935">
        <v>0</v>
      </c>
      <c r="V181" s="935">
        <v>0</v>
      </c>
      <c r="W181" s="935">
        <f t="shared" si="20"/>
        <v>0</v>
      </c>
    </row>
    <row r="182" spans="1:23" hidden="1" x14ac:dyDescent="0.2">
      <c r="B182" s="3" t="s">
        <v>216</v>
      </c>
      <c r="C182" s="935">
        <v>0</v>
      </c>
      <c r="D182" s="935">
        <v>0</v>
      </c>
      <c r="E182" s="935">
        <v>0</v>
      </c>
      <c r="F182" s="935">
        <v>0</v>
      </c>
      <c r="G182" s="935">
        <v>0</v>
      </c>
      <c r="H182" s="935">
        <v>0</v>
      </c>
      <c r="I182" s="935">
        <v>0</v>
      </c>
      <c r="J182" s="935">
        <v>0</v>
      </c>
      <c r="K182" s="935">
        <v>0</v>
      </c>
      <c r="L182" s="935">
        <v>0</v>
      </c>
      <c r="M182" s="935">
        <v>0</v>
      </c>
      <c r="N182" s="935">
        <v>0</v>
      </c>
      <c r="O182" s="935">
        <v>0</v>
      </c>
      <c r="P182" s="935">
        <v>0</v>
      </c>
      <c r="Q182" s="935">
        <v>0</v>
      </c>
      <c r="R182" s="935">
        <v>0</v>
      </c>
      <c r="S182" s="935">
        <v>0</v>
      </c>
      <c r="T182" s="935">
        <v>0</v>
      </c>
      <c r="U182" s="935">
        <v>0</v>
      </c>
      <c r="V182" s="935">
        <v>0</v>
      </c>
      <c r="W182" s="935">
        <f t="shared" si="20"/>
        <v>0</v>
      </c>
    </row>
    <row r="183" spans="1:23" hidden="1" x14ac:dyDescent="0.2">
      <c r="B183" s="3" t="s">
        <v>217</v>
      </c>
      <c r="C183" s="935">
        <v>0</v>
      </c>
      <c r="D183" s="935">
        <v>0</v>
      </c>
      <c r="E183" s="935">
        <v>0</v>
      </c>
      <c r="F183" s="935">
        <v>0</v>
      </c>
      <c r="G183" s="935">
        <v>0</v>
      </c>
      <c r="H183" s="935">
        <v>0</v>
      </c>
      <c r="I183" s="935">
        <v>0</v>
      </c>
      <c r="J183" s="935">
        <v>0</v>
      </c>
      <c r="K183" s="935">
        <v>0</v>
      </c>
      <c r="L183" s="935">
        <v>0</v>
      </c>
      <c r="M183" s="935">
        <v>0</v>
      </c>
      <c r="N183" s="935">
        <v>0</v>
      </c>
      <c r="O183" s="935">
        <v>0</v>
      </c>
      <c r="P183" s="935">
        <v>0</v>
      </c>
      <c r="Q183" s="935">
        <v>0</v>
      </c>
      <c r="R183" s="935">
        <v>0</v>
      </c>
      <c r="S183" s="935">
        <v>0</v>
      </c>
      <c r="T183" s="935">
        <v>0</v>
      </c>
      <c r="U183" s="935">
        <v>0</v>
      </c>
      <c r="V183" s="935">
        <v>0</v>
      </c>
      <c r="W183" s="935">
        <f t="shared" si="20"/>
        <v>0</v>
      </c>
    </row>
    <row r="184" spans="1:23" hidden="1" x14ac:dyDescent="0.2">
      <c r="B184" s="3" t="s">
        <v>218</v>
      </c>
      <c r="C184" s="935">
        <v>0</v>
      </c>
      <c r="D184" s="935">
        <v>0</v>
      </c>
      <c r="E184" s="935">
        <v>0</v>
      </c>
      <c r="F184" s="935">
        <v>0</v>
      </c>
      <c r="G184" s="935">
        <v>0</v>
      </c>
      <c r="H184" s="935">
        <v>0</v>
      </c>
      <c r="I184" s="935">
        <v>0</v>
      </c>
      <c r="J184" s="935">
        <v>0</v>
      </c>
      <c r="K184" s="935">
        <v>0</v>
      </c>
      <c r="L184" s="935">
        <v>0</v>
      </c>
      <c r="M184" s="935">
        <v>0</v>
      </c>
      <c r="N184" s="935">
        <v>0</v>
      </c>
      <c r="O184" s="935">
        <v>0</v>
      </c>
      <c r="P184" s="935">
        <v>0</v>
      </c>
      <c r="Q184" s="935">
        <v>0</v>
      </c>
      <c r="R184" s="935">
        <v>0</v>
      </c>
      <c r="S184" s="935">
        <v>0</v>
      </c>
      <c r="T184" s="935">
        <v>0</v>
      </c>
      <c r="U184" s="935">
        <v>0</v>
      </c>
      <c r="V184" s="935">
        <v>0</v>
      </c>
      <c r="W184" s="935">
        <f t="shared" si="20"/>
        <v>0</v>
      </c>
    </row>
    <row r="185" spans="1:23" hidden="1" x14ac:dyDescent="0.2">
      <c r="B185" s="3" t="s">
        <v>219</v>
      </c>
      <c r="C185" s="935">
        <v>0</v>
      </c>
      <c r="D185" s="935">
        <v>0</v>
      </c>
      <c r="E185" s="935">
        <v>0</v>
      </c>
      <c r="F185" s="935">
        <v>0</v>
      </c>
      <c r="G185" s="935">
        <v>0</v>
      </c>
      <c r="H185" s="935">
        <v>0</v>
      </c>
      <c r="I185" s="935">
        <v>0</v>
      </c>
      <c r="J185" s="935">
        <v>0</v>
      </c>
      <c r="K185" s="935">
        <v>0</v>
      </c>
      <c r="L185" s="935">
        <v>0</v>
      </c>
      <c r="M185" s="935">
        <v>0</v>
      </c>
      <c r="N185" s="935">
        <v>0</v>
      </c>
      <c r="O185" s="935">
        <v>0</v>
      </c>
      <c r="P185" s="935">
        <v>0</v>
      </c>
      <c r="Q185" s="935">
        <v>0</v>
      </c>
      <c r="R185" s="935">
        <v>0</v>
      </c>
      <c r="S185" s="935">
        <v>0</v>
      </c>
      <c r="T185" s="935">
        <v>0</v>
      </c>
      <c r="U185" s="935">
        <v>0</v>
      </c>
      <c r="V185" s="935">
        <v>0</v>
      </c>
      <c r="W185" s="935">
        <f t="shared" si="20"/>
        <v>0</v>
      </c>
    </row>
    <row r="186" spans="1:23" hidden="1" x14ac:dyDescent="0.2">
      <c r="B186" s="3" t="s">
        <v>220</v>
      </c>
      <c r="C186" s="935">
        <v>0</v>
      </c>
      <c r="D186" s="935">
        <v>0</v>
      </c>
      <c r="E186" s="935">
        <v>0</v>
      </c>
      <c r="F186" s="935">
        <v>0</v>
      </c>
      <c r="G186" s="935">
        <v>0</v>
      </c>
      <c r="H186" s="935">
        <v>0</v>
      </c>
      <c r="I186" s="935">
        <v>0</v>
      </c>
      <c r="J186" s="935">
        <v>0</v>
      </c>
      <c r="K186" s="935">
        <v>0</v>
      </c>
      <c r="L186" s="935">
        <v>0</v>
      </c>
      <c r="M186" s="935">
        <v>0</v>
      </c>
      <c r="N186" s="935">
        <v>0</v>
      </c>
      <c r="O186" s="935">
        <v>0</v>
      </c>
      <c r="P186" s="935">
        <v>0</v>
      </c>
      <c r="Q186" s="935">
        <v>0</v>
      </c>
      <c r="R186" s="935">
        <v>0</v>
      </c>
      <c r="S186" s="935">
        <v>0</v>
      </c>
      <c r="T186" s="935">
        <v>0</v>
      </c>
      <c r="U186" s="935">
        <v>0</v>
      </c>
      <c r="V186" s="935">
        <v>0</v>
      </c>
      <c r="W186" s="935">
        <f t="shared" si="20"/>
        <v>0</v>
      </c>
    </row>
    <row r="187" spans="1:23" hidden="1" x14ac:dyDescent="0.2">
      <c r="B187" s="3" t="s">
        <v>221</v>
      </c>
      <c r="C187" s="935">
        <v>0</v>
      </c>
      <c r="D187" s="935">
        <v>0</v>
      </c>
      <c r="E187" s="935">
        <v>0</v>
      </c>
      <c r="F187" s="935">
        <v>0</v>
      </c>
      <c r="G187" s="935">
        <v>0</v>
      </c>
      <c r="H187" s="935">
        <v>0</v>
      </c>
      <c r="I187" s="935">
        <v>0</v>
      </c>
      <c r="J187" s="935">
        <v>0</v>
      </c>
      <c r="K187" s="935">
        <v>0</v>
      </c>
      <c r="L187" s="935">
        <v>0</v>
      </c>
      <c r="M187" s="935">
        <v>0</v>
      </c>
      <c r="N187" s="935">
        <v>0</v>
      </c>
      <c r="O187" s="935">
        <v>0</v>
      </c>
      <c r="P187" s="935">
        <v>0</v>
      </c>
      <c r="Q187" s="935">
        <v>0</v>
      </c>
      <c r="R187" s="935">
        <v>0</v>
      </c>
      <c r="S187" s="935">
        <v>0</v>
      </c>
      <c r="T187" s="935">
        <v>0</v>
      </c>
      <c r="U187" s="935">
        <v>0</v>
      </c>
      <c r="V187" s="935">
        <v>0</v>
      </c>
      <c r="W187" s="935">
        <f t="shared" si="20"/>
        <v>0</v>
      </c>
    </row>
    <row r="188" spans="1:23" hidden="1" x14ac:dyDescent="0.2">
      <c r="A188" s="2" t="s">
        <v>10</v>
      </c>
      <c r="B188" s="3" t="s">
        <v>142</v>
      </c>
      <c r="C188" s="935">
        <v>0</v>
      </c>
      <c r="D188" s="935">
        <v>0</v>
      </c>
      <c r="E188" s="935">
        <v>0</v>
      </c>
      <c r="F188" s="935">
        <v>0</v>
      </c>
      <c r="G188" s="935">
        <v>0</v>
      </c>
      <c r="H188" s="935">
        <v>0</v>
      </c>
      <c r="I188" s="935">
        <v>0</v>
      </c>
      <c r="J188" s="935">
        <v>0</v>
      </c>
      <c r="K188" s="935">
        <v>0</v>
      </c>
      <c r="L188" s="935">
        <v>0</v>
      </c>
      <c r="M188" s="935">
        <v>0</v>
      </c>
      <c r="N188" s="935">
        <v>0</v>
      </c>
      <c r="O188" s="935">
        <v>0</v>
      </c>
      <c r="P188" s="935">
        <v>0</v>
      </c>
      <c r="Q188" s="935">
        <v>0</v>
      </c>
      <c r="R188" s="935">
        <v>0</v>
      </c>
      <c r="S188" s="935">
        <v>0</v>
      </c>
      <c r="T188" s="935">
        <v>0</v>
      </c>
      <c r="U188" s="935">
        <v>0</v>
      </c>
      <c r="V188" s="935">
        <v>0</v>
      </c>
      <c r="W188" s="935">
        <f t="shared" si="20"/>
        <v>0</v>
      </c>
    </row>
    <row r="189" spans="1:23" hidden="1" x14ac:dyDescent="0.2">
      <c r="A189" s="2" t="s">
        <v>10</v>
      </c>
      <c r="B189" s="3" t="s">
        <v>141</v>
      </c>
      <c r="C189" s="935">
        <v>0</v>
      </c>
      <c r="D189" s="935">
        <v>0</v>
      </c>
      <c r="E189" s="935">
        <v>0</v>
      </c>
      <c r="F189" s="935">
        <v>0</v>
      </c>
      <c r="G189" s="935">
        <v>0</v>
      </c>
      <c r="H189" s="935">
        <v>0</v>
      </c>
      <c r="I189" s="935">
        <v>0</v>
      </c>
      <c r="J189" s="935">
        <v>0</v>
      </c>
      <c r="K189" s="935">
        <v>0</v>
      </c>
      <c r="L189" s="935">
        <v>0</v>
      </c>
      <c r="M189" s="935">
        <v>0</v>
      </c>
      <c r="N189" s="935">
        <v>0</v>
      </c>
      <c r="O189" s="935">
        <v>0</v>
      </c>
      <c r="P189" s="935">
        <v>0</v>
      </c>
      <c r="Q189" s="935">
        <v>0</v>
      </c>
      <c r="R189" s="935">
        <v>0</v>
      </c>
      <c r="S189" s="935">
        <v>0</v>
      </c>
      <c r="T189" s="935">
        <v>0</v>
      </c>
      <c r="U189" s="935">
        <v>0</v>
      </c>
      <c r="V189" s="935">
        <v>0</v>
      </c>
      <c r="W189" s="935">
        <f t="shared" si="20"/>
        <v>0</v>
      </c>
    </row>
    <row r="190" spans="1:23" hidden="1" x14ac:dyDescent="0.2">
      <c r="A190" s="2" t="s">
        <v>33</v>
      </c>
      <c r="B190" s="3" t="s">
        <v>222</v>
      </c>
      <c r="C190" s="935">
        <v>0</v>
      </c>
      <c r="D190" s="935">
        <v>0</v>
      </c>
      <c r="E190" s="935">
        <v>0</v>
      </c>
      <c r="F190" s="935">
        <v>0</v>
      </c>
      <c r="G190" s="935">
        <v>0</v>
      </c>
      <c r="H190" s="935">
        <v>0</v>
      </c>
      <c r="I190" s="935">
        <v>0</v>
      </c>
      <c r="J190" s="935">
        <v>0</v>
      </c>
      <c r="K190" s="935">
        <v>0</v>
      </c>
      <c r="L190" s="935">
        <v>0</v>
      </c>
      <c r="M190" s="935">
        <v>0</v>
      </c>
      <c r="N190" s="935">
        <v>0</v>
      </c>
      <c r="O190" s="935">
        <v>0</v>
      </c>
      <c r="P190" s="935">
        <v>0</v>
      </c>
      <c r="Q190" s="935">
        <v>0</v>
      </c>
      <c r="R190" s="935">
        <v>0</v>
      </c>
      <c r="S190" s="935">
        <v>0</v>
      </c>
      <c r="T190" s="935">
        <v>0</v>
      </c>
      <c r="U190" s="935">
        <v>0</v>
      </c>
      <c r="V190" s="935">
        <v>0</v>
      </c>
      <c r="W190" s="935">
        <f t="shared" si="20"/>
        <v>0</v>
      </c>
    </row>
    <row r="191" spans="1:23" hidden="1" x14ac:dyDescent="0.2">
      <c r="A191" s="2" t="s">
        <v>10</v>
      </c>
      <c r="B191" s="3" t="s">
        <v>138</v>
      </c>
      <c r="C191" s="935">
        <v>0</v>
      </c>
      <c r="D191" s="935">
        <v>0</v>
      </c>
      <c r="E191" s="935">
        <v>0</v>
      </c>
      <c r="F191" s="935">
        <v>0</v>
      </c>
      <c r="G191" s="935">
        <v>0</v>
      </c>
      <c r="H191" s="935">
        <v>0</v>
      </c>
      <c r="I191" s="935">
        <v>0</v>
      </c>
      <c r="J191" s="935">
        <v>0</v>
      </c>
      <c r="K191" s="935">
        <v>0</v>
      </c>
      <c r="L191" s="935">
        <v>0</v>
      </c>
      <c r="M191" s="935">
        <v>0</v>
      </c>
      <c r="N191" s="935">
        <v>0</v>
      </c>
      <c r="O191" s="935">
        <v>0</v>
      </c>
      <c r="P191" s="935">
        <v>0</v>
      </c>
      <c r="Q191" s="935">
        <v>0</v>
      </c>
      <c r="R191" s="935">
        <v>0</v>
      </c>
      <c r="S191" s="935">
        <v>0</v>
      </c>
      <c r="T191" s="935">
        <v>0</v>
      </c>
      <c r="U191" s="935">
        <v>0</v>
      </c>
      <c r="V191" s="935">
        <v>0</v>
      </c>
      <c r="W191" s="935">
        <f t="shared" si="20"/>
        <v>0</v>
      </c>
    </row>
    <row r="192" spans="1:23" hidden="1" x14ac:dyDescent="0.2">
      <c r="A192" s="2" t="s">
        <v>10</v>
      </c>
      <c r="B192" s="3" t="s">
        <v>136</v>
      </c>
      <c r="C192" s="935">
        <v>0</v>
      </c>
      <c r="D192" s="935">
        <v>0</v>
      </c>
      <c r="E192" s="935">
        <v>0</v>
      </c>
      <c r="F192" s="935">
        <v>0</v>
      </c>
      <c r="G192" s="935">
        <v>0</v>
      </c>
      <c r="H192" s="935">
        <v>0</v>
      </c>
      <c r="I192" s="935">
        <v>0</v>
      </c>
      <c r="J192" s="935">
        <v>0</v>
      </c>
      <c r="K192" s="935">
        <v>0</v>
      </c>
      <c r="L192" s="935">
        <v>0</v>
      </c>
      <c r="M192" s="935">
        <v>0</v>
      </c>
      <c r="N192" s="935">
        <v>0</v>
      </c>
      <c r="O192" s="935">
        <v>0</v>
      </c>
      <c r="P192" s="935">
        <v>0</v>
      </c>
      <c r="Q192" s="935">
        <v>0</v>
      </c>
      <c r="R192" s="935">
        <v>0</v>
      </c>
      <c r="S192" s="935">
        <v>0</v>
      </c>
      <c r="T192" s="935">
        <v>0</v>
      </c>
      <c r="U192" s="935">
        <v>0</v>
      </c>
      <c r="V192" s="935">
        <v>0</v>
      </c>
      <c r="W192" s="935">
        <f t="shared" si="20"/>
        <v>0</v>
      </c>
    </row>
    <row r="193" spans="2:23" hidden="1" x14ac:dyDescent="0.2">
      <c r="B193" s="3" t="s">
        <v>223</v>
      </c>
      <c r="C193" s="935">
        <v>0</v>
      </c>
      <c r="D193" s="935">
        <v>0</v>
      </c>
      <c r="E193" s="935">
        <v>0</v>
      </c>
      <c r="F193" s="935">
        <v>0</v>
      </c>
      <c r="G193" s="935">
        <v>0</v>
      </c>
      <c r="H193" s="935">
        <v>0</v>
      </c>
      <c r="I193" s="935">
        <v>0</v>
      </c>
      <c r="J193" s="935">
        <v>0</v>
      </c>
      <c r="K193" s="935">
        <v>0</v>
      </c>
      <c r="L193" s="935">
        <v>0</v>
      </c>
      <c r="M193" s="935">
        <v>0</v>
      </c>
      <c r="N193" s="935">
        <v>0</v>
      </c>
      <c r="O193" s="935">
        <v>0</v>
      </c>
      <c r="P193" s="935">
        <v>0</v>
      </c>
      <c r="Q193" s="935">
        <v>0</v>
      </c>
      <c r="R193" s="935">
        <v>0</v>
      </c>
      <c r="S193" s="935">
        <v>0</v>
      </c>
      <c r="T193" s="935">
        <v>0</v>
      </c>
      <c r="U193" s="935">
        <v>0</v>
      </c>
      <c r="V193" s="935">
        <v>0</v>
      </c>
      <c r="W193" s="935">
        <f t="shared" si="20"/>
        <v>0</v>
      </c>
    </row>
    <row r="194" spans="2:23" hidden="1" x14ac:dyDescent="0.2">
      <c r="B194" s="3" t="s">
        <v>224</v>
      </c>
      <c r="C194" s="935">
        <v>0</v>
      </c>
      <c r="D194" s="935">
        <v>0</v>
      </c>
      <c r="E194" s="935">
        <v>0</v>
      </c>
      <c r="F194" s="935">
        <v>0</v>
      </c>
      <c r="G194" s="935">
        <v>0</v>
      </c>
      <c r="H194" s="935">
        <v>0</v>
      </c>
      <c r="I194" s="935">
        <v>0</v>
      </c>
      <c r="J194" s="935">
        <v>0</v>
      </c>
      <c r="K194" s="935">
        <v>0</v>
      </c>
      <c r="L194" s="935">
        <v>0</v>
      </c>
      <c r="M194" s="935">
        <v>0</v>
      </c>
      <c r="N194" s="935">
        <v>0</v>
      </c>
      <c r="O194" s="935">
        <v>0</v>
      </c>
      <c r="P194" s="935">
        <v>0</v>
      </c>
      <c r="Q194" s="935">
        <v>0</v>
      </c>
      <c r="R194" s="935">
        <v>0</v>
      </c>
      <c r="S194" s="935">
        <v>0</v>
      </c>
      <c r="T194" s="935">
        <v>0</v>
      </c>
      <c r="U194" s="935">
        <v>0</v>
      </c>
      <c r="V194" s="935">
        <v>0</v>
      </c>
      <c r="W194" s="935">
        <f t="shared" si="20"/>
        <v>0</v>
      </c>
    </row>
    <row r="195" spans="2:23" hidden="1" x14ac:dyDescent="0.2">
      <c r="B195" s="3" t="s">
        <v>225</v>
      </c>
      <c r="C195" s="935">
        <v>0</v>
      </c>
      <c r="D195" s="935">
        <v>0</v>
      </c>
      <c r="E195" s="935">
        <v>0</v>
      </c>
      <c r="F195" s="935">
        <v>0</v>
      </c>
      <c r="G195" s="935">
        <v>0</v>
      </c>
      <c r="H195" s="935">
        <v>0</v>
      </c>
      <c r="I195" s="935">
        <v>0</v>
      </c>
      <c r="J195" s="935">
        <v>0</v>
      </c>
      <c r="K195" s="935">
        <v>0</v>
      </c>
      <c r="L195" s="935">
        <v>0</v>
      </c>
      <c r="M195" s="935">
        <v>0</v>
      </c>
      <c r="N195" s="935">
        <v>0</v>
      </c>
      <c r="O195" s="935">
        <v>0</v>
      </c>
      <c r="P195" s="935">
        <v>0</v>
      </c>
      <c r="Q195" s="935">
        <v>0</v>
      </c>
      <c r="R195" s="935">
        <v>0</v>
      </c>
      <c r="S195" s="935">
        <v>0</v>
      </c>
      <c r="T195" s="935">
        <v>0</v>
      </c>
      <c r="U195" s="935">
        <v>0</v>
      </c>
      <c r="V195" s="935">
        <v>0</v>
      </c>
      <c r="W195" s="935">
        <f t="shared" si="20"/>
        <v>0</v>
      </c>
    </row>
    <row r="196" spans="2:23" hidden="1" x14ac:dyDescent="0.2">
      <c r="B196" s="3" t="s">
        <v>226</v>
      </c>
      <c r="C196" s="935">
        <v>0</v>
      </c>
      <c r="D196" s="935">
        <v>0</v>
      </c>
      <c r="E196" s="935">
        <v>0</v>
      </c>
      <c r="F196" s="935">
        <v>0</v>
      </c>
      <c r="G196" s="935">
        <v>0</v>
      </c>
      <c r="H196" s="935">
        <v>0</v>
      </c>
      <c r="I196" s="935">
        <v>0</v>
      </c>
      <c r="J196" s="935">
        <v>0</v>
      </c>
      <c r="K196" s="935">
        <v>0</v>
      </c>
      <c r="L196" s="935">
        <v>0</v>
      </c>
      <c r="M196" s="935">
        <v>0</v>
      </c>
      <c r="N196" s="935">
        <v>0</v>
      </c>
      <c r="O196" s="935">
        <v>0</v>
      </c>
      <c r="P196" s="935">
        <v>0</v>
      </c>
      <c r="Q196" s="935">
        <v>0</v>
      </c>
      <c r="R196" s="935">
        <v>0</v>
      </c>
      <c r="S196" s="935">
        <v>0</v>
      </c>
      <c r="T196" s="935">
        <v>0</v>
      </c>
      <c r="U196" s="935">
        <v>0</v>
      </c>
      <c r="V196" s="935">
        <v>0</v>
      </c>
      <c r="W196" s="935">
        <f t="shared" si="20"/>
        <v>0</v>
      </c>
    </row>
    <row r="197" spans="2:23" hidden="1" x14ac:dyDescent="0.2">
      <c r="B197" s="3" t="s">
        <v>227</v>
      </c>
      <c r="C197" s="935">
        <v>0</v>
      </c>
      <c r="D197" s="935">
        <v>0</v>
      </c>
      <c r="E197" s="935">
        <v>0</v>
      </c>
      <c r="F197" s="935">
        <v>0</v>
      </c>
      <c r="G197" s="935">
        <v>0</v>
      </c>
      <c r="H197" s="935">
        <v>0</v>
      </c>
      <c r="I197" s="935">
        <v>0</v>
      </c>
      <c r="J197" s="935">
        <v>0</v>
      </c>
      <c r="K197" s="935">
        <v>0</v>
      </c>
      <c r="L197" s="935">
        <v>0</v>
      </c>
      <c r="M197" s="935">
        <v>0</v>
      </c>
      <c r="N197" s="935">
        <v>0</v>
      </c>
      <c r="O197" s="935">
        <v>0</v>
      </c>
      <c r="P197" s="935">
        <v>0</v>
      </c>
      <c r="Q197" s="935">
        <v>0</v>
      </c>
      <c r="R197" s="935">
        <v>0</v>
      </c>
      <c r="S197" s="935">
        <v>0</v>
      </c>
      <c r="T197" s="935">
        <v>0</v>
      </c>
      <c r="U197" s="935">
        <v>0</v>
      </c>
      <c r="V197" s="935">
        <v>0</v>
      </c>
      <c r="W197" s="935">
        <f t="shared" si="20"/>
        <v>0</v>
      </c>
    </row>
    <row r="198" spans="2:23" hidden="1" x14ac:dyDescent="0.2">
      <c r="B198" s="3" t="s">
        <v>228</v>
      </c>
      <c r="C198" s="935">
        <v>0</v>
      </c>
      <c r="D198" s="935">
        <v>0</v>
      </c>
      <c r="E198" s="935">
        <v>0</v>
      </c>
      <c r="F198" s="935">
        <v>0</v>
      </c>
      <c r="G198" s="935">
        <v>0</v>
      </c>
      <c r="H198" s="935">
        <v>0</v>
      </c>
      <c r="I198" s="935">
        <v>0</v>
      </c>
      <c r="J198" s="935">
        <v>0</v>
      </c>
      <c r="K198" s="935">
        <v>0</v>
      </c>
      <c r="L198" s="935">
        <v>0</v>
      </c>
      <c r="M198" s="935">
        <v>0</v>
      </c>
      <c r="N198" s="935">
        <v>0</v>
      </c>
      <c r="O198" s="935">
        <v>0</v>
      </c>
      <c r="P198" s="935">
        <v>0</v>
      </c>
      <c r="Q198" s="935">
        <v>0</v>
      </c>
      <c r="R198" s="935">
        <v>0</v>
      </c>
      <c r="S198" s="935">
        <v>0</v>
      </c>
      <c r="T198" s="935">
        <v>0</v>
      </c>
      <c r="U198" s="935">
        <v>0</v>
      </c>
      <c r="V198" s="935">
        <v>0</v>
      </c>
      <c r="W198" s="935">
        <f t="shared" si="20"/>
        <v>0</v>
      </c>
    </row>
    <row r="199" spans="2:23" hidden="1" x14ac:dyDescent="0.2">
      <c r="B199" s="3" t="s">
        <v>229</v>
      </c>
      <c r="C199" s="935">
        <v>0</v>
      </c>
      <c r="D199" s="935">
        <v>0</v>
      </c>
      <c r="E199" s="935">
        <v>0</v>
      </c>
      <c r="F199" s="935">
        <v>0</v>
      </c>
      <c r="G199" s="935">
        <v>0</v>
      </c>
      <c r="H199" s="935">
        <v>0</v>
      </c>
      <c r="I199" s="935">
        <v>0</v>
      </c>
      <c r="J199" s="935">
        <v>0</v>
      </c>
      <c r="K199" s="935">
        <v>0</v>
      </c>
      <c r="L199" s="935">
        <v>0</v>
      </c>
      <c r="M199" s="935">
        <v>0</v>
      </c>
      <c r="N199" s="935">
        <v>0</v>
      </c>
      <c r="O199" s="935">
        <v>0</v>
      </c>
      <c r="P199" s="935">
        <v>0</v>
      </c>
      <c r="Q199" s="935">
        <v>0</v>
      </c>
      <c r="R199" s="935">
        <v>0</v>
      </c>
      <c r="S199" s="935">
        <v>0</v>
      </c>
      <c r="T199" s="935">
        <v>0</v>
      </c>
      <c r="U199" s="935">
        <v>0</v>
      </c>
      <c r="V199" s="935">
        <v>0</v>
      </c>
      <c r="W199" s="935">
        <f t="shared" si="20"/>
        <v>0</v>
      </c>
    </row>
    <row r="200" spans="2:23" hidden="1" x14ac:dyDescent="0.2">
      <c r="B200" s="3" t="s">
        <v>230</v>
      </c>
      <c r="C200" s="935">
        <v>0</v>
      </c>
      <c r="D200" s="935">
        <v>0</v>
      </c>
      <c r="E200" s="935">
        <v>0</v>
      </c>
      <c r="F200" s="935">
        <v>0</v>
      </c>
      <c r="G200" s="935">
        <v>0</v>
      </c>
      <c r="H200" s="935">
        <v>0</v>
      </c>
      <c r="I200" s="935">
        <v>0</v>
      </c>
      <c r="J200" s="935">
        <v>0</v>
      </c>
      <c r="K200" s="935">
        <v>0</v>
      </c>
      <c r="L200" s="935">
        <v>0</v>
      </c>
      <c r="M200" s="935">
        <v>0</v>
      </c>
      <c r="N200" s="935">
        <v>0</v>
      </c>
      <c r="O200" s="935">
        <v>0</v>
      </c>
      <c r="P200" s="935">
        <v>0</v>
      </c>
      <c r="Q200" s="935">
        <v>0</v>
      </c>
      <c r="R200" s="935">
        <v>0</v>
      </c>
      <c r="S200" s="935">
        <v>0</v>
      </c>
      <c r="T200" s="935">
        <v>0</v>
      </c>
      <c r="U200" s="935">
        <v>0</v>
      </c>
      <c r="V200" s="935">
        <v>0</v>
      </c>
      <c r="W200" s="935">
        <f t="shared" si="20"/>
        <v>0</v>
      </c>
    </row>
    <row r="201" spans="2:23" hidden="1" x14ac:dyDescent="0.2">
      <c r="B201" s="3" t="s">
        <v>231</v>
      </c>
      <c r="C201" s="935">
        <v>0</v>
      </c>
      <c r="D201" s="935">
        <v>0</v>
      </c>
      <c r="E201" s="935">
        <v>0</v>
      </c>
      <c r="F201" s="935">
        <v>0</v>
      </c>
      <c r="G201" s="935">
        <v>0</v>
      </c>
      <c r="H201" s="935">
        <v>0</v>
      </c>
      <c r="I201" s="935">
        <v>0</v>
      </c>
      <c r="J201" s="935">
        <v>0</v>
      </c>
      <c r="K201" s="935">
        <v>0</v>
      </c>
      <c r="L201" s="935">
        <v>0</v>
      </c>
      <c r="M201" s="935">
        <v>0</v>
      </c>
      <c r="N201" s="935">
        <v>0</v>
      </c>
      <c r="O201" s="935">
        <v>0</v>
      </c>
      <c r="P201" s="935">
        <v>0</v>
      </c>
      <c r="Q201" s="935">
        <v>0</v>
      </c>
      <c r="R201" s="935">
        <v>0</v>
      </c>
      <c r="S201" s="935">
        <v>0</v>
      </c>
      <c r="T201" s="935">
        <v>0</v>
      </c>
      <c r="U201" s="935">
        <v>0</v>
      </c>
      <c r="V201" s="935">
        <v>0</v>
      </c>
      <c r="W201" s="935">
        <f t="shared" si="20"/>
        <v>0</v>
      </c>
    </row>
    <row r="202" spans="2:23" hidden="1" x14ac:dyDescent="0.2">
      <c r="B202" s="3" t="s">
        <v>232</v>
      </c>
      <c r="C202" s="935">
        <v>0</v>
      </c>
      <c r="D202" s="935">
        <v>0</v>
      </c>
      <c r="E202" s="935">
        <v>0</v>
      </c>
      <c r="F202" s="935">
        <v>0</v>
      </c>
      <c r="G202" s="935">
        <v>0</v>
      </c>
      <c r="H202" s="935">
        <v>0</v>
      </c>
      <c r="I202" s="935">
        <v>0</v>
      </c>
      <c r="J202" s="935">
        <v>0</v>
      </c>
      <c r="K202" s="935">
        <v>0</v>
      </c>
      <c r="L202" s="935">
        <v>0</v>
      </c>
      <c r="M202" s="935">
        <v>0</v>
      </c>
      <c r="N202" s="935">
        <v>0</v>
      </c>
      <c r="O202" s="935">
        <v>0</v>
      </c>
      <c r="P202" s="935">
        <v>0</v>
      </c>
      <c r="Q202" s="935">
        <v>0</v>
      </c>
      <c r="R202" s="935">
        <v>0</v>
      </c>
      <c r="S202" s="935">
        <v>0</v>
      </c>
      <c r="T202" s="935">
        <v>0</v>
      </c>
      <c r="U202" s="935">
        <v>0</v>
      </c>
      <c r="V202" s="935">
        <v>0</v>
      </c>
      <c r="W202" s="935">
        <f t="shared" si="20"/>
        <v>0</v>
      </c>
    </row>
    <row r="203" spans="2:23" hidden="1" x14ac:dyDescent="0.2">
      <c r="B203" s="3" t="s">
        <v>233</v>
      </c>
      <c r="C203" s="935">
        <v>0</v>
      </c>
      <c r="D203" s="935">
        <v>0</v>
      </c>
      <c r="E203" s="935">
        <v>0</v>
      </c>
      <c r="F203" s="935">
        <v>0</v>
      </c>
      <c r="G203" s="935">
        <v>0</v>
      </c>
      <c r="H203" s="935">
        <v>0</v>
      </c>
      <c r="I203" s="935">
        <v>0</v>
      </c>
      <c r="J203" s="935">
        <v>0</v>
      </c>
      <c r="K203" s="935">
        <v>0</v>
      </c>
      <c r="L203" s="935">
        <v>0</v>
      </c>
      <c r="M203" s="935">
        <v>0</v>
      </c>
      <c r="N203" s="935">
        <v>0</v>
      </c>
      <c r="O203" s="935">
        <v>0</v>
      </c>
      <c r="P203" s="935">
        <v>0</v>
      </c>
      <c r="Q203" s="935">
        <v>0</v>
      </c>
      <c r="R203" s="935">
        <v>0</v>
      </c>
      <c r="S203" s="935">
        <v>0</v>
      </c>
      <c r="T203" s="935">
        <v>0</v>
      </c>
      <c r="U203" s="935">
        <v>0</v>
      </c>
      <c r="V203" s="935">
        <v>0</v>
      </c>
      <c r="W203" s="935">
        <f t="shared" si="20"/>
        <v>0</v>
      </c>
    </row>
    <row r="204" spans="2:23" hidden="1" x14ac:dyDescent="0.2">
      <c r="B204" s="3" t="s">
        <v>234</v>
      </c>
      <c r="C204" s="935">
        <v>0</v>
      </c>
      <c r="D204" s="935">
        <v>0</v>
      </c>
      <c r="E204" s="935">
        <v>0</v>
      </c>
      <c r="F204" s="935">
        <v>0</v>
      </c>
      <c r="G204" s="935">
        <v>0</v>
      </c>
      <c r="H204" s="935">
        <v>0</v>
      </c>
      <c r="I204" s="935">
        <v>0</v>
      </c>
      <c r="J204" s="935">
        <v>0</v>
      </c>
      <c r="K204" s="935">
        <v>0</v>
      </c>
      <c r="L204" s="935">
        <v>0</v>
      </c>
      <c r="M204" s="935">
        <v>0</v>
      </c>
      <c r="N204" s="935">
        <v>0</v>
      </c>
      <c r="O204" s="935">
        <v>0</v>
      </c>
      <c r="P204" s="935">
        <v>0</v>
      </c>
      <c r="Q204" s="935">
        <v>0</v>
      </c>
      <c r="R204" s="935">
        <v>0</v>
      </c>
      <c r="S204" s="935">
        <v>0</v>
      </c>
      <c r="T204" s="935">
        <v>0</v>
      </c>
      <c r="U204" s="935">
        <v>0</v>
      </c>
      <c r="V204" s="935">
        <v>0</v>
      </c>
      <c r="W204" s="935">
        <f t="shared" si="20"/>
        <v>0</v>
      </c>
    </row>
    <row r="205" spans="2:23" x14ac:dyDescent="0.2">
      <c r="B205" s="3" t="s">
        <v>9</v>
      </c>
      <c r="C205" s="935">
        <v>0</v>
      </c>
      <c r="D205" s="935">
        <v>0</v>
      </c>
      <c r="E205" s="935">
        <v>0</v>
      </c>
      <c r="F205" s="935">
        <v>0</v>
      </c>
      <c r="G205" s="935">
        <v>0</v>
      </c>
      <c r="H205" s="935">
        <v>0</v>
      </c>
      <c r="I205" s="935">
        <v>0</v>
      </c>
      <c r="J205" s="935">
        <v>0</v>
      </c>
      <c r="K205" s="935">
        <v>0</v>
      </c>
      <c r="L205" s="935">
        <v>0</v>
      </c>
      <c r="M205" s="935">
        <v>0</v>
      </c>
      <c r="N205" s="935">
        <v>0</v>
      </c>
      <c r="O205" s="935">
        <v>0</v>
      </c>
      <c r="P205" s="935">
        <v>0</v>
      </c>
      <c r="Q205" s="935">
        <v>0</v>
      </c>
      <c r="R205" s="935">
        <v>0</v>
      </c>
      <c r="S205" s="935">
        <v>0</v>
      </c>
      <c r="T205" s="935">
        <v>0</v>
      </c>
      <c r="U205" s="935">
        <v>0</v>
      </c>
      <c r="V205" s="935">
        <v>-45284749</v>
      </c>
      <c r="W205" s="935">
        <f t="shared" si="20"/>
        <v>-45284749</v>
      </c>
    </row>
    <row r="206" spans="2:23" hidden="1" x14ac:dyDescent="0.2">
      <c r="B206" s="3" t="s">
        <v>581</v>
      </c>
      <c r="C206" s="935">
        <v>0</v>
      </c>
      <c r="D206" s="935">
        <v>0</v>
      </c>
      <c r="E206" s="935">
        <v>0</v>
      </c>
      <c r="F206" s="935">
        <v>0</v>
      </c>
      <c r="G206" s="935">
        <v>0</v>
      </c>
      <c r="H206" s="935">
        <v>0</v>
      </c>
      <c r="I206" s="935">
        <v>0</v>
      </c>
      <c r="J206" s="935">
        <v>0</v>
      </c>
      <c r="K206" s="935">
        <v>0</v>
      </c>
      <c r="L206" s="935">
        <v>0</v>
      </c>
      <c r="M206" s="935">
        <v>0</v>
      </c>
      <c r="N206" s="935">
        <v>0</v>
      </c>
      <c r="O206" s="935">
        <v>0</v>
      </c>
      <c r="P206" s="935">
        <v>0</v>
      </c>
      <c r="Q206" s="935">
        <v>0</v>
      </c>
      <c r="R206" s="935">
        <v>0</v>
      </c>
      <c r="S206" s="935">
        <v>0</v>
      </c>
      <c r="T206" s="935">
        <v>0</v>
      </c>
      <c r="U206" s="935">
        <v>0</v>
      </c>
      <c r="V206" s="935">
        <v>0</v>
      </c>
      <c r="W206" s="935">
        <f t="shared" si="20"/>
        <v>0</v>
      </c>
    </row>
    <row r="207" spans="2:23" hidden="1" x14ac:dyDescent="0.2">
      <c r="B207" s="3" t="s">
        <v>235</v>
      </c>
      <c r="C207" s="935">
        <v>0</v>
      </c>
      <c r="D207" s="935">
        <v>0</v>
      </c>
      <c r="E207" s="935">
        <v>0</v>
      </c>
      <c r="F207" s="935">
        <v>0</v>
      </c>
      <c r="G207" s="935">
        <v>0</v>
      </c>
      <c r="H207" s="935">
        <v>0</v>
      </c>
      <c r="I207" s="935">
        <v>0</v>
      </c>
      <c r="J207" s="935">
        <v>0</v>
      </c>
      <c r="K207" s="935">
        <v>0</v>
      </c>
      <c r="L207" s="935">
        <v>0</v>
      </c>
      <c r="M207" s="935">
        <v>0</v>
      </c>
      <c r="N207" s="935">
        <v>0</v>
      </c>
      <c r="O207" s="935">
        <v>0</v>
      </c>
      <c r="P207" s="935">
        <v>0</v>
      </c>
      <c r="Q207" s="935">
        <v>0</v>
      </c>
      <c r="R207" s="935">
        <v>0</v>
      </c>
      <c r="S207" s="935">
        <v>0</v>
      </c>
      <c r="T207" s="935">
        <v>0</v>
      </c>
      <c r="U207" s="935">
        <v>0</v>
      </c>
      <c r="V207" s="935">
        <v>0</v>
      </c>
      <c r="W207" s="935">
        <f t="shared" si="20"/>
        <v>0</v>
      </c>
    </row>
    <row r="208" spans="2:23" hidden="1" x14ac:dyDescent="0.2">
      <c r="B208" s="3" t="s">
        <v>236</v>
      </c>
      <c r="C208" s="935">
        <v>0</v>
      </c>
      <c r="D208" s="935">
        <v>0</v>
      </c>
      <c r="E208" s="935">
        <v>0</v>
      </c>
      <c r="F208" s="935">
        <v>0</v>
      </c>
      <c r="G208" s="935">
        <v>0</v>
      </c>
      <c r="H208" s="935">
        <v>0</v>
      </c>
      <c r="I208" s="935">
        <v>0</v>
      </c>
      <c r="J208" s="935">
        <v>0</v>
      </c>
      <c r="K208" s="935">
        <v>0</v>
      </c>
      <c r="L208" s="935">
        <v>0</v>
      </c>
      <c r="M208" s="935">
        <v>0</v>
      </c>
      <c r="N208" s="935">
        <v>0</v>
      </c>
      <c r="O208" s="935">
        <v>0</v>
      </c>
      <c r="P208" s="935">
        <v>0</v>
      </c>
      <c r="Q208" s="935">
        <v>0</v>
      </c>
      <c r="R208" s="935">
        <v>0</v>
      </c>
      <c r="S208" s="935">
        <v>0</v>
      </c>
      <c r="T208" s="935">
        <v>0</v>
      </c>
      <c r="U208" s="935">
        <v>0</v>
      </c>
      <c r="V208" s="935">
        <v>0</v>
      </c>
      <c r="W208" s="935">
        <f t="shared" si="20"/>
        <v>0</v>
      </c>
    </row>
    <row r="209" spans="1:23" hidden="1" x14ac:dyDescent="0.2">
      <c r="B209" s="3" t="s">
        <v>237</v>
      </c>
      <c r="C209" s="935">
        <v>0</v>
      </c>
      <c r="D209" s="935">
        <v>0</v>
      </c>
      <c r="E209" s="935">
        <v>0</v>
      </c>
      <c r="F209" s="935">
        <v>0</v>
      </c>
      <c r="G209" s="935">
        <v>0</v>
      </c>
      <c r="H209" s="935">
        <v>0</v>
      </c>
      <c r="I209" s="935">
        <v>0</v>
      </c>
      <c r="J209" s="935">
        <v>0</v>
      </c>
      <c r="K209" s="935">
        <v>0</v>
      </c>
      <c r="L209" s="935">
        <v>0</v>
      </c>
      <c r="M209" s="935">
        <v>0</v>
      </c>
      <c r="N209" s="935">
        <v>0</v>
      </c>
      <c r="O209" s="935">
        <v>0</v>
      </c>
      <c r="P209" s="935">
        <v>0</v>
      </c>
      <c r="Q209" s="935">
        <v>0</v>
      </c>
      <c r="R209" s="935">
        <v>0</v>
      </c>
      <c r="S209" s="935">
        <v>0</v>
      </c>
      <c r="T209" s="935">
        <v>0</v>
      </c>
      <c r="U209" s="935">
        <v>0</v>
      </c>
      <c r="V209" s="935">
        <v>0</v>
      </c>
      <c r="W209" s="935">
        <f t="shared" si="20"/>
        <v>0</v>
      </c>
    </row>
    <row r="210" spans="1:23" hidden="1" x14ac:dyDescent="0.2">
      <c r="B210" s="3" t="s">
        <v>238</v>
      </c>
      <c r="C210" s="935">
        <v>0</v>
      </c>
      <c r="D210" s="935">
        <v>0</v>
      </c>
      <c r="E210" s="935">
        <v>0</v>
      </c>
      <c r="F210" s="935">
        <v>0</v>
      </c>
      <c r="G210" s="935">
        <v>0</v>
      </c>
      <c r="H210" s="935">
        <v>0</v>
      </c>
      <c r="I210" s="935">
        <v>0</v>
      </c>
      <c r="J210" s="935">
        <v>0</v>
      </c>
      <c r="K210" s="935">
        <v>0</v>
      </c>
      <c r="L210" s="935">
        <v>0</v>
      </c>
      <c r="M210" s="935">
        <v>0</v>
      </c>
      <c r="N210" s="935">
        <v>0</v>
      </c>
      <c r="O210" s="935">
        <v>0</v>
      </c>
      <c r="P210" s="935">
        <v>0</v>
      </c>
      <c r="Q210" s="935">
        <v>0</v>
      </c>
      <c r="R210" s="935">
        <v>0</v>
      </c>
      <c r="S210" s="935">
        <v>0</v>
      </c>
      <c r="T210" s="935">
        <v>0</v>
      </c>
      <c r="U210" s="935">
        <v>0</v>
      </c>
      <c r="V210" s="935">
        <v>0</v>
      </c>
      <c r="W210" s="935">
        <f t="shared" si="20"/>
        <v>0</v>
      </c>
    </row>
    <row r="211" spans="1:23" hidden="1" x14ac:dyDescent="0.2">
      <c r="B211" s="3" t="s">
        <v>239</v>
      </c>
      <c r="C211" s="935">
        <v>0</v>
      </c>
      <c r="D211" s="935">
        <v>0</v>
      </c>
      <c r="E211" s="935">
        <v>0</v>
      </c>
      <c r="F211" s="935">
        <v>0</v>
      </c>
      <c r="G211" s="935">
        <v>0</v>
      </c>
      <c r="H211" s="935">
        <v>0</v>
      </c>
      <c r="I211" s="935">
        <v>0</v>
      </c>
      <c r="J211" s="935">
        <v>0</v>
      </c>
      <c r="K211" s="935">
        <v>0</v>
      </c>
      <c r="L211" s="935">
        <v>0</v>
      </c>
      <c r="M211" s="935">
        <v>0</v>
      </c>
      <c r="N211" s="935">
        <v>0</v>
      </c>
      <c r="O211" s="935">
        <v>0</v>
      </c>
      <c r="P211" s="935">
        <v>0</v>
      </c>
      <c r="Q211" s="935">
        <v>0</v>
      </c>
      <c r="R211" s="935">
        <v>0</v>
      </c>
      <c r="S211" s="935">
        <v>0</v>
      </c>
      <c r="T211" s="935">
        <v>0</v>
      </c>
      <c r="U211" s="935">
        <v>0</v>
      </c>
      <c r="V211" s="935">
        <v>0</v>
      </c>
      <c r="W211" s="935">
        <f t="shared" si="20"/>
        <v>0</v>
      </c>
    </row>
    <row r="212" spans="1:23" hidden="1" x14ac:dyDescent="0.2">
      <c r="B212" s="3" t="s">
        <v>240</v>
      </c>
      <c r="C212" s="935">
        <v>0</v>
      </c>
      <c r="D212" s="935">
        <v>0</v>
      </c>
      <c r="E212" s="935">
        <v>0</v>
      </c>
      <c r="F212" s="935">
        <v>0</v>
      </c>
      <c r="G212" s="935">
        <v>0</v>
      </c>
      <c r="H212" s="935">
        <v>0</v>
      </c>
      <c r="I212" s="935">
        <v>0</v>
      </c>
      <c r="J212" s="935">
        <v>0</v>
      </c>
      <c r="K212" s="935">
        <v>0</v>
      </c>
      <c r="L212" s="935">
        <v>0</v>
      </c>
      <c r="M212" s="935">
        <v>0</v>
      </c>
      <c r="N212" s="935">
        <v>0</v>
      </c>
      <c r="O212" s="935">
        <v>0</v>
      </c>
      <c r="P212" s="935">
        <v>0</v>
      </c>
      <c r="Q212" s="935">
        <v>0</v>
      </c>
      <c r="R212" s="935">
        <v>0</v>
      </c>
      <c r="S212" s="935">
        <v>0</v>
      </c>
      <c r="T212" s="935">
        <v>0</v>
      </c>
      <c r="U212" s="935">
        <v>0</v>
      </c>
      <c r="V212" s="935">
        <v>0</v>
      </c>
      <c r="W212" s="935">
        <f t="shared" si="20"/>
        <v>0</v>
      </c>
    </row>
    <row r="213" spans="1:23" hidden="1" x14ac:dyDescent="0.2">
      <c r="B213" s="3" t="s">
        <v>241</v>
      </c>
      <c r="C213" s="935">
        <v>0</v>
      </c>
      <c r="D213" s="935">
        <v>0</v>
      </c>
      <c r="E213" s="935">
        <v>0</v>
      </c>
      <c r="F213" s="935">
        <v>0</v>
      </c>
      <c r="G213" s="935">
        <v>0</v>
      </c>
      <c r="H213" s="935">
        <v>0</v>
      </c>
      <c r="I213" s="935">
        <v>0</v>
      </c>
      <c r="J213" s="935">
        <v>0</v>
      </c>
      <c r="K213" s="935">
        <v>0</v>
      </c>
      <c r="L213" s="935">
        <v>0</v>
      </c>
      <c r="M213" s="935">
        <v>0</v>
      </c>
      <c r="N213" s="935">
        <v>0</v>
      </c>
      <c r="O213" s="935">
        <v>0</v>
      </c>
      <c r="P213" s="935">
        <v>0</v>
      </c>
      <c r="Q213" s="935">
        <v>0</v>
      </c>
      <c r="R213" s="935">
        <v>0</v>
      </c>
      <c r="S213" s="935">
        <v>0</v>
      </c>
      <c r="T213" s="935">
        <v>0</v>
      </c>
      <c r="U213" s="935">
        <v>0</v>
      </c>
      <c r="V213" s="935">
        <v>0</v>
      </c>
      <c r="W213" s="935">
        <f t="shared" si="20"/>
        <v>0</v>
      </c>
    </row>
    <row r="214" spans="1:23" hidden="1" x14ac:dyDescent="0.2">
      <c r="B214" s="3" t="s">
        <v>242</v>
      </c>
      <c r="C214" s="935">
        <v>0</v>
      </c>
      <c r="D214" s="935">
        <v>0</v>
      </c>
      <c r="E214" s="935">
        <v>0</v>
      </c>
      <c r="F214" s="935">
        <v>0</v>
      </c>
      <c r="G214" s="935">
        <v>0</v>
      </c>
      <c r="H214" s="935">
        <v>0</v>
      </c>
      <c r="I214" s="935">
        <v>0</v>
      </c>
      <c r="J214" s="935">
        <v>0</v>
      </c>
      <c r="K214" s="935">
        <v>0</v>
      </c>
      <c r="L214" s="935">
        <v>0</v>
      </c>
      <c r="M214" s="935">
        <v>0</v>
      </c>
      <c r="N214" s="935">
        <v>0</v>
      </c>
      <c r="O214" s="935">
        <v>0</v>
      </c>
      <c r="P214" s="935">
        <v>0</v>
      </c>
      <c r="Q214" s="935">
        <v>0</v>
      </c>
      <c r="R214" s="935">
        <v>0</v>
      </c>
      <c r="S214" s="935">
        <v>0</v>
      </c>
      <c r="T214" s="935">
        <v>0</v>
      </c>
      <c r="U214" s="935">
        <v>0</v>
      </c>
      <c r="V214" s="935">
        <v>0</v>
      </c>
      <c r="W214" s="935">
        <f t="shared" si="20"/>
        <v>0</v>
      </c>
    </row>
    <row r="215" spans="1:23" hidden="1" x14ac:dyDescent="0.2">
      <c r="B215" s="3" t="s">
        <v>243</v>
      </c>
      <c r="C215" s="935">
        <v>0</v>
      </c>
      <c r="D215" s="935">
        <v>0</v>
      </c>
      <c r="E215" s="935">
        <v>0</v>
      </c>
      <c r="F215" s="935">
        <v>0</v>
      </c>
      <c r="G215" s="935">
        <v>0</v>
      </c>
      <c r="H215" s="935">
        <v>0</v>
      </c>
      <c r="I215" s="935">
        <v>0</v>
      </c>
      <c r="J215" s="935">
        <v>0</v>
      </c>
      <c r="K215" s="935">
        <v>0</v>
      </c>
      <c r="L215" s="935">
        <v>0</v>
      </c>
      <c r="M215" s="935">
        <v>0</v>
      </c>
      <c r="N215" s="935">
        <v>0</v>
      </c>
      <c r="O215" s="935">
        <v>0</v>
      </c>
      <c r="P215" s="935">
        <v>0</v>
      </c>
      <c r="Q215" s="935">
        <v>0</v>
      </c>
      <c r="R215" s="935">
        <v>0</v>
      </c>
      <c r="S215" s="935">
        <v>0</v>
      </c>
      <c r="T215" s="935">
        <v>0</v>
      </c>
      <c r="U215" s="935">
        <v>0</v>
      </c>
      <c r="V215" s="935">
        <v>0</v>
      </c>
      <c r="W215" s="935">
        <f t="shared" si="20"/>
        <v>0</v>
      </c>
    </row>
    <row r="216" spans="1:23" hidden="1" x14ac:dyDescent="0.2">
      <c r="B216" s="3" t="s">
        <v>244</v>
      </c>
      <c r="C216" s="935">
        <v>0</v>
      </c>
      <c r="D216" s="935">
        <v>0</v>
      </c>
      <c r="E216" s="935">
        <v>0</v>
      </c>
      <c r="F216" s="935">
        <v>0</v>
      </c>
      <c r="G216" s="935">
        <v>0</v>
      </c>
      <c r="H216" s="935">
        <v>0</v>
      </c>
      <c r="I216" s="935">
        <v>0</v>
      </c>
      <c r="J216" s="935">
        <v>0</v>
      </c>
      <c r="K216" s="935">
        <v>0</v>
      </c>
      <c r="L216" s="935">
        <v>0</v>
      </c>
      <c r="M216" s="935">
        <v>0</v>
      </c>
      <c r="N216" s="935">
        <v>0</v>
      </c>
      <c r="O216" s="935">
        <v>0</v>
      </c>
      <c r="P216" s="935">
        <v>0</v>
      </c>
      <c r="Q216" s="935">
        <v>0</v>
      </c>
      <c r="R216" s="935">
        <v>0</v>
      </c>
      <c r="S216" s="935">
        <v>0</v>
      </c>
      <c r="T216" s="935">
        <v>0</v>
      </c>
      <c r="U216" s="935">
        <v>0</v>
      </c>
      <c r="V216" s="935">
        <v>0</v>
      </c>
      <c r="W216" s="935">
        <f t="shared" si="20"/>
        <v>0</v>
      </c>
    </row>
    <row r="217" spans="1:23" x14ac:dyDescent="0.2">
      <c r="A217" s="2" t="s">
        <v>245</v>
      </c>
      <c r="C217" s="935"/>
      <c r="D217" s="935"/>
      <c r="E217" s="935"/>
      <c r="F217" s="935"/>
      <c r="G217" s="935"/>
      <c r="H217" s="935"/>
      <c r="I217" s="935"/>
      <c r="J217" s="935"/>
      <c r="K217" s="935"/>
      <c r="L217" s="935"/>
      <c r="M217" s="935"/>
      <c r="N217" s="935"/>
      <c r="O217" s="935"/>
      <c r="P217" s="935"/>
      <c r="Q217" s="935"/>
      <c r="R217" s="935"/>
      <c r="S217" s="935"/>
      <c r="T217" s="935"/>
      <c r="U217" s="935"/>
      <c r="V217" s="935"/>
      <c r="W217" s="935">
        <f t="shared" si="20"/>
        <v>0</v>
      </c>
    </row>
    <row r="218" spans="1:23" x14ac:dyDescent="0.2">
      <c r="B218" s="3" t="s">
        <v>246</v>
      </c>
      <c r="C218" s="935">
        <v>0</v>
      </c>
      <c r="D218" s="935">
        <v>0</v>
      </c>
      <c r="E218" s="935">
        <v>0</v>
      </c>
      <c r="F218" s="935">
        <v>0</v>
      </c>
      <c r="G218" s="935">
        <v>0</v>
      </c>
      <c r="H218" s="935">
        <v>0</v>
      </c>
      <c r="I218" s="935">
        <v>0</v>
      </c>
      <c r="J218" s="935">
        <v>0</v>
      </c>
      <c r="K218" s="935">
        <v>0</v>
      </c>
      <c r="L218" s="935">
        <v>0</v>
      </c>
      <c r="M218" s="935">
        <v>0</v>
      </c>
      <c r="N218" s="935">
        <v>0</v>
      </c>
      <c r="O218" s="935">
        <v>0</v>
      </c>
      <c r="P218" s="935">
        <v>0</v>
      </c>
      <c r="Q218" s="935">
        <v>0</v>
      </c>
      <c r="R218" s="935">
        <v>0</v>
      </c>
      <c r="S218" s="935">
        <v>0</v>
      </c>
      <c r="T218" s="935">
        <v>27164822.5</v>
      </c>
      <c r="U218" s="935">
        <v>0</v>
      </c>
      <c r="V218" s="935">
        <v>0</v>
      </c>
      <c r="W218" s="935">
        <f t="shared" si="20"/>
        <v>27164822.5</v>
      </c>
    </row>
    <row r="219" spans="1:23" hidden="1" x14ac:dyDescent="0.2">
      <c r="B219" s="3" t="s">
        <v>247</v>
      </c>
      <c r="C219" s="935">
        <v>0</v>
      </c>
      <c r="D219" s="935">
        <v>0</v>
      </c>
      <c r="E219" s="935">
        <v>0</v>
      </c>
      <c r="F219" s="935">
        <v>0</v>
      </c>
      <c r="G219" s="935">
        <v>0</v>
      </c>
      <c r="H219" s="935">
        <v>0</v>
      </c>
      <c r="I219" s="935">
        <v>0</v>
      </c>
      <c r="J219" s="935">
        <v>0</v>
      </c>
      <c r="K219" s="935">
        <v>0</v>
      </c>
      <c r="L219" s="935">
        <v>0</v>
      </c>
      <c r="M219" s="935">
        <v>0</v>
      </c>
      <c r="N219" s="935">
        <v>0</v>
      </c>
      <c r="O219" s="935">
        <v>0</v>
      </c>
      <c r="P219" s="935">
        <v>0</v>
      </c>
      <c r="Q219" s="935">
        <v>0</v>
      </c>
      <c r="R219" s="935">
        <v>0</v>
      </c>
      <c r="S219" s="935">
        <v>0</v>
      </c>
      <c r="T219" s="935">
        <v>0</v>
      </c>
      <c r="U219" s="935">
        <v>0</v>
      </c>
      <c r="V219" s="935">
        <v>0</v>
      </c>
      <c r="W219" s="935">
        <f t="shared" si="20"/>
        <v>0</v>
      </c>
    </row>
    <row r="220" spans="1:23" hidden="1" x14ac:dyDescent="0.2">
      <c r="B220" s="3" t="s">
        <v>248</v>
      </c>
      <c r="C220" s="935">
        <v>0</v>
      </c>
      <c r="D220" s="935">
        <v>0</v>
      </c>
      <c r="E220" s="935">
        <v>0</v>
      </c>
      <c r="F220" s="935">
        <v>0</v>
      </c>
      <c r="G220" s="935">
        <v>0</v>
      </c>
      <c r="H220" s="935">
        <v>0</v>
      </c>
      <c r="I220" s="935">
        <v>0</v>
      </c>
      <c r="J220" s="935">
        <v>0</v>
      </c>
      <c r="K220" s="935">
        <v>0</v>
      </c>
      <c r="L220" s="935">
        <v>0</v>
      </c>
      <c r="M220" s="935">
        <v>0</v>
      </c>
      <c r="N220" s="935">
        <v>0</v>
      </c>
      <c r="O220" s="935">
        <v>0</v>
      </c>
      <c r="P220" s="935">
        <v>0</v>
      </c>
      <c r="Q220" s="935">
        <v>0</v>
      </c>
      <c r="R220" s="935">
        <v>0</v>
      </c>
      <c r="S220" s="935">
        <v>0</v>
      </c>
      <c r="T220" s="935">
        <v>0</v>
      </c>
      <c r="U220" s="935">
        <v>0</v>
      </c>
      <c r="V220" s="935">
        <v>0</v>
      </c>
      <c r="W220" s="935">
        <f t="shared" si="20"/>
        <v>0</v>
      </c>
    </row>
    <row r="221" spans="1:23" hidden="1" x14ac:dyDescent="0.2">
      <c r="B221" s="3" t="s">
        <v>249</v>
      </c>
      <c r="C221" s="935">
        <v>0</v>
      </c>
      <c r="D221" s="935">
        <v>0</v>
      </c>
      <c r="E221" s="935">
        <v>0</v>
      </c>
      <c r="F221" s="935">
        <v>0</v>
      </c>
      <c r="G221" s="935">
        <v>0</v>
      </c>
      <c r="H221" s="935">
        <v>0</v>
      </c>
      <c r="I221" s="935">
        <v>0</v>
      </c>
      <c r="J221" s="935">
        <v>0</v>
      </c>
      <c r="K221" s="935">
        <v>0</v>
      </c>
      <c r="L221" s="935">
        <v>0</v>
      </c>
      <c r="M221" s="935">
        <v>0</v>
      </c>
      <c r="N221" s="935">
        <v>0</v>
      </c>
      <c r="O221" s="935">
        <v>0</v>
      </c>
      <c r="P221" s="935">
        <v>0</v>
      </c>
      <c r="Q221" s="935">
        <v>0</v>
      </c>
      <c r="R221" s="935">
        <v>0</v>
      </c>
      <c r="S221" s="935">
        <v>0</v>
      </c>
      <c r="T221" s="935">
        <v>0</v>
      </c>
      <c r="U221" s="935">
        <v>0</v>
      </c>
      <c r="V221" s="935">
        <v>0</v>
      </c>
      <c r="W221" s="935">
        <f t="shared" si="20"/>
        <v>0</v>
      </c>
    </row>
    <row r="222" spans="1:23" x14ac:dyDescent="0.2">
      <c r="B222" s="3" t="s">
        <v>250</v>
      </c>
      <c r="C222" s="935">
        <v>0</v>
      </c>
      <c r="D222" s="935">
        <v>0</v>
      </c>
      <c r="E222" s="935">
        <v>0</v>
      </c>
      <c r="F222" s="935">
        <v>0</v>
      </c>
      <c r="G222" s="935">
        <v>0</v>
      </c>
      <c r="H222" s="935">
        <v>0</v>
      </c>
      <c r="I222" s="935">
        <v>0</v>
      </c>
      <c r="J222" s="935">
        <v>0</v>
      </c>
      <c r="K222" s="935">
        <v>0</v>
      </c>
      <c r="L222" s="935">
        <v>0</v>
      </c>
      <c r="M222" s="935">
        <v>0</v>
      </c>
      <c r="N222" s="935">
        <v>0</v>
      </c>
      <c r="O222" s="935">
        <v>0</v>
      </c>
      <c r="P222" s="935">
        <v>0</v>
      </c>
      <c r="Q222" s="935">
        <v>0</v>
      </c>
      <c r="R222" s="935">
        <v>88692487</v>
      </c>
      <c r="S222" s="935">
        <v>0</v>
      </c>
      <c r="T222" s="935">
        <v>0</v>
      </c>
      <c r="U222" s="935">
        <v>0</v>
      </c>
      <c r="V222" s="935">
        <v>0</v>
      </c>
      <c r="W222" s="935">
        <f t="shared" si="20"/>
        <v>88692487</v>
      </c>
    </row>
    <row r="223" spans="1:23" x14ac:dyDescent="0.2">
      <c r="B223" s="3" t="s">
        <v>251</v>
      </c>
      <c r="C223" s="935">
        <v>0</v>
      </c>
      <c r="D223" s="935">
        <v>0</v>
      </c>
      <c r="E223" s="935">
        <v>0</v>
      </c>
      <c r="F223" s="935">
        <v>0</v>
      </c>
      <c r="G223" s="935">
        <v>0</v>
      </c>
      <c r="H223" s="935">
        <v>0</v>
      </c>
      <c r="I223" s="935">
        <v>0</v>
      </c>
      <c r="J223" s="935">
        <v>0</v>
      </c>
      <c r="K223" s="935">
        <v>0</v>
      </c>
      <c r="L223" s="935">
        <v>0</v>
      </c>
      <c r="M223" s="935">
        <v>0</v>
      </c>
      <c r="N223" s="935">
        <v>0</v>
      </c>
      <c r="O223" s="935">
        <v>0</v>
      </c>
      <c r="P223" s="935">
        <v>0</v>
      </c>
      <c r="Q223" s="935">
        <v>3584133</v>
      </c>
      <c r="R223" s="935">
        <v>0</v>
      </c>
      <c r="S223" s="935">
        <v>0</v>
      </c>
      <c r="T223" s="935">
        <v>0</v>
      </c>
      <c r="U223" s="935">
        <v>0</v>
      </c>
      <c r="V223" s="935">
        <v>0</v>
      </c>
      <c r="W223" s="935">
        <f t="shared" si="20"/>
        <v>3584133</v>
      </c>
    </row>
    <row r="224" spans="1:23" x14ac:dyDescent="0.2">
      <c r="B224" s="3" t="s">
        <v>252</v>
      </c>
      <c r="C224" s="935">
        <v>0</v>
      </c>
      <c r="D224" s="935">
        <v>0</v>
      </c>
      <c r="E224" s="935">
        <v>0</v>
      </c>
      <c r="F224" s="935">
        <v>0</v>
      </c>
      <c r="G224" s="935">
        <v>0</v>
      </c>
      <c r="H224" s="935">
        <v>0</v>
      </c>
      <c r="I224" s="935">
        <v>0</v>
      </c>
      <c r="J224" s="935">
        <v>0</v>
      </c>
      <c r="K224" s="935">
        <v>0</v>
      </c>
      <c r="L224" s="935">
        <v>0</v>
      </c>
      <c r="M224" s="935">
        <v>0</v>
      </c>
      <c r="N224" s="935">
        <v>0</v>
      </c>
      <c r="O224" s="935">
        <v>0</v>
      </c>
      <c r="P224" s="935">
        <v>0</v>
      </c>
      <c r="Q224" s="935">
        <v>0</v>
      </c>
      <c r="R224" s="935">
        <v>0</v>
      </c>
      <c r="S224" s="935">
        <v>3022623</v>
      </c>
      <c r="T224" s="935">
        <v>0</v>
      </c>
      <c r="U224" s="935">
        <v>0</v>
      </c>
      <c r="V224" s="935">
        <v>0</v>
      </c>
      <c r="W224" s="935">
        <f t="shared" si="20"/>
        <v>3022623</v>
      </c>
    </row>
    <row r="225" spans="2:23" hidden="1" x14ac:dyDescent="0.2">
      <c r="B225" s="3" t="s">
        <v>253</v>
      </c>
      <c r="C225" s="935">
        <v>0</v>
      </c>
      <c r="D225" s="935">
        <v>0</v>
      </c>
      <c r="E225" s="935">
        <v>0</v>
      </c>
      <c r="F225" s="935">
        <v>0</v>
      </c>
      <c r="G225" s="935">
        <v>0</v>
      </c>
      <c r="H225" s="935">
        <v>0</v>
      </c>
      <c r="I225" s="935">
        <v>0</v>
      </c>
      <c r="J225" s="935">
        <v>0</v>
      </c>
      <c r="K225" s="935">
        <v>0</v>
      </c>
      <c r="L225" s="935">
        <v>0</v>
      </c>
      <c r="M225" s="935">
        <v>0</v>
      </c>
      <c r="N225" s="935">
        <v>0</v>
      </c>
      <c r="O225" s="935">
        <v>0</v>
      </c>
      <c r="P225" s="935">
        <v>0</v>
      </c>
      <c r="Q225" s="935">
        <v>0</v>
      </c>
      <c r="R225" s="935">
        <v>0</v>
      </c>
      <c r="S225" s="935">
        <v>0</v>
      </c>
      <c r="T225" s="935">
        <v>0</v>
      </c>
      <c r="U225" s="935">
        <v>0</v>
      </c>
      <c r="V225" s="935">
        <v>0</v>
      </c>
      <c r="W225" s="935">
        <f t="shared" si="20"/>
        <v>0</v>
      </c>
    </row>
    <row r="226" spans="2:23" x14ac:dyDescent="0.2">
      <c r="B226" s="3" t="s">
        <v>254</v>
      </c>
      <c r="C226" s="935">
        <v>0</v>
      </c>
      <c r="D226" s="935">
        <v>0</v>
      </c>
      <c r="E226" s="935">
        <v>0</v>
      </c>
      <c r="F226" s="935">
        <v>0</v>
      </c>
      <c r="G226" s="935">
        <v>0</v>
      </c>
      <c r="H226" s="935">
        <v>0</v>
      </c>
      <c r="I226" s="935">
        <v>0</v>
      </c>
      <c r="J226" s="935">
        <v>0</v>
      </c>
      <c r="K226" s="935">
        <v>0</v>
      </c>
      <c r="L226" s="935">
        <v>0</v>
      </c>
      <c r="M226" s="935">
        <v>0</v>
      </c>
      <c r="N226" s="935">
        <v>0</v>
      </c>
      <c r="O226" s="935">
        <v>0</v>
      </c>
      <c r="P226" s="935">
        <v>0</v>
      </c>
      <c r="Q226" s="935">
        <v>0</v>
      </c>
      <c r="R226" s="935">
        <v>0</v>
      </c>
      <c r="S226" s="935">
        <v>0</v>
      </c>
      <c r="T226" s="935">
        <v>0</v>
      </c>
      <c r="U226" s="935">
        <v>5990019</v>
      </c>
      <c r="V226" s="935">
        <v>0</v>
      </c>
      <c r="W226" s="935">
        <f t="shared" si="20"/>
        <v>5990019</v>
      </c>
    </row>
    <row r="227" spans="2:23" hidden="1" x14ac:dyDescent="0.2">
      <c r="B227" s="3" t="s">
        <v>255</v>
      </c>
      <c r="C227" s="935">
        <v>0</v>
      </c>
      <c r="D227" s="935">
        <v>0</v>
      </c>
      <c r="E227" s="935">
        <v>0</v>
      </c>
      <c r="F227" s="935">
        <v>0</v>
      </c>
      <c r="G227" s="935">
        <v>0</v>
      </c>
      <c r="H227" s="935">
        <v>0</v>
      </c>
      <c r="I227" s="935">
        <v>0</v>
      </c>
      <c r="J227" s="935">
        <v>0</v>
      </c>
      <c r="K227" s="935">
        <v>0</v>
      </c>
      <c r="L227" s="935">
        <v>0</v>
      </c>
      <c r="M227" s="935">
        <v>0</v>
      </c>
      <c r="N227" s="935">
        <v>0</v>
      </c>
      <c r="O227" s="935">
        <v>0</v>
      </c>
      <c r="P227" s="935">
        <v>0</v>
      </c>
      <c r="Q227" s="935">
        <v>0</v>
      </c>
      <c r="R227" s="935">
        <v>0</v>
      </c>
      <c r="S227" s="935">
        <v>0</v>
      </c>
      <c r="T227" s="935">
        <v>0</v>
      </c>
      <c r="U227" s="935">
        <v>0</v>
      </c>
      <c r="V227" s="935">
        <v>0</v>
      </c>
      <c r="W227" s="935">
        <f t="shared" si="20"/>
        <v>0</v>
      </c>
    </row>
    <row r="228" spans="2:23" hidden="1" x14ac:dyDescent="0.2">
      <c r="B228" s="3" t="s">
        <v>256</v>
      </c>
      <c r="C228" s="935">
        <v>0</v>
      </c>
      <c r="D228" s="935">
        <v>0</v>
      </c>
      <c r="E228" s="935">
        <v>0</v>
      </c>
      <c r="F228" s="935">
        <v>0</v>
      </c>
      <c r="G228" s="935">
        <v>0</v>
      </c>
      <c r="H228" s="935">
        <v>0</v>
      </c>
      <c r="I228" s="935">
        <v>0</v>
      </c>
      <c r="J228" s="935">
        <v>0</v>
      </c>
      <c r="K228" s="935">
        <v>0</v>
      </c>
      <c r="L228" s="935">
        <v>0</v>
      </c>
      <c r="M228" s="935">
        <v>0</v>
      </c>
      <c r="N228" s="935">
        <v>0</v>
      </c>
      <c r="O228" s="935">
        <v>0</v>
      </c>
      <c r="P228" s="935">
        <v>0</v>
      </c>
      <c r="Q228" s="935">
        <v>0</v>
      </c>
      <c r="R228" s="935">
        <v>0</v>
      </c>
      <c r="S228" s="935">
        <v>0</v>
      </c>
      <c r="T228" s="935">
        <v>0</v>
      </c>
      <c r="U228" s="935">
        <v>0</v>
      </c>
      <c r="V228" s="935">
        <v>0</v>
      </c>
      <c r="W228" s="935">
        <f t="shared" si="20"/>
        <v>0</v>
      </c>
    </row>
    <row r="229" spans="2:23" hidden="1" x14ac:dyDescent="0.2">
      <c r="B229" s="3" t="s">
        <v>257</v>
      </c>
      <c r="C229" s="935">
        <v>0</v>
      </c>
      <c r="D229" s="935">
        <v>0</v>
      </c>
      <c r="E229" s="935">
        <v>0</v>
      </c>
      <c r="F229" s="935">
        <v>0</v>
      </c>
      <c r="G229" s="935">
        <v>0</v>
      </c>
      <c r="H229" s="935">
        <v>0</v>
      </c>
      <c r="I229" s="935">
        <v>0</v>
      </c>
      <c r="J229" s="935">
        <v>0</v>
      </c>
      <c r="K229" s="935">
        <v>0</v>
      </c>
      <c r="L229" s="935">
        <v>0</v>
      </c>
      <c r="M229" s="935">
        <v>0</v>
      </c>
      <c r="N229" s="935">
        <v>0</v>
      </c>
      <c r="O229" s="935">
        <v>0</v>
      </c>
      <c r="P229" s="935">
        <v>0</v>
      </c>
      <c r="Q229" s="935">
        <v>0</v>
      </c>
      <c r="R229" s="935">
        <v>0</v>
      </c>
      <c r="S229" s="935">
        <v>0</v>
      </c>
      <c r="T229" s="935">
        <v>0</v>
      </c>
      <c r="U229" s="935">
        <v>0</v>
      </c>
      <c r="V229" s="935">
        <v>0</v>
      </c>
      <c r="W229" s="935">
        <f t="shared" si="20"/>
        <v>0</v>
      </c>
    </row>
    <row r="230" spans="2:23" hidden="1" x14ac:dyDescent="0.2">
      <c r="B230" s="3" t="s">
        <v>258</v>
      </c>
      <c r="C230" s="935">
        <v>0</v>
      </c>
      <c r="D230" s="935">
        <v>0</v>
      </c>
      <c r="E230" s="935">
        <v>0</v>
      </c>
      <c r="F230" s="935">
        <v>0</v>
      </c>
      <c r="G230" s="935">
        <v>0</v>
      </c>
      <c r="H230" s="935">
        <v>0</v>
      </c>
      <c r="I230" s="935">
        <v>0</v>
      </c>
      <c r="J230" s="935">
        <v>0</v>
      </c>
      <c r="K230" s="935">
        <v>0</v>
      </c>
      <c r="L230" s="935">
        <v>0</v>
      </c>
      <c r="M230" s="935">
        <v>0</v>
      </c>
      <c r="N230" s="935">
        <v>0</v>
      </c>
      <c r="O230" s="935">
        <v>0</v>
      </c>
      <c r="P230" s="935">
        <v>0</v>
      </c>
      <c r="Q230" s="935">
        <v>0</v>
      </c>
      <c r="R230" s="935">
        <v>0</v>
      </c>
      <c r="S230" s="935">
        <v>0</v>
      </c>
      <c r="T230" s="935">
        <v>0</v>
      </c>
      <c r="U230" s="935">
        <v>0</v>
      </c>
      <c r="V230" s="935">
        <v>0</v>
      </c>
      <c r="W230" s="935">
        <f t="shared" si="20"/>
        <v>0</v>
      </c>
    </row>
    <row r="231" spans="2:23" hidden="1" x14ac:dyDescent="0.2">
      <c r="B231" s="3" t="s">
        <v>259</v>
      </c>
      <c r="C231" s="935">
        <v>0</v>
      </c>
      <c r="D231" s="935">
        <v>0</v>
      </c>
      <c r="E231" s="935">
        <v>0</v>
      </c>
      <c r="F231" s="935">
        <v>0</v>
      </c>
      <c r="G231" s="935">
        <v>0</v>
      </c>
      <c r="H231" s="935">
        <v>0</v>
      </c>
      <c r="I231" s="935">
        <v>0</v>
      </c>
      <c r="J231" s="935">
        <v>0</v>
      </c>
      <c r="K231" s="935">
        <v>0</v>
      </c>
      <c r="L231" s="935">
        <v>0</v>
      </c>
      <c r="M231" s="935">
        <v>0</v>
      </c>
      <c r="N231" s="935">
        <v>0</v>
      </c>
      <c r="O231" s="935">
        <v>0</v>
      </c>
      <c r="P231" s="935">
        <v>0</v>
      </c>
      <c r="Q231" s="935">
        <v>0</v>
      </c>
      <c r="R231" s="935">
        <v>0</v>
      </c>
      <c r="S231" s="935">
        <v>0</v>
      </c>
      <c r="T231" s="935">
        <v>0</v>
      </c>
      <c r="U231" s="935">
        <v>0</v>
      </c>
      <c r="V231" s="935">
        <v>0</v>
      </c>
      <c r="W231" s="935">
        <f t="shared" si="20"/>
        <v>0</v>
      </c>
    </row>
    <row r="232" spans="2:23" hidden="1" x14ac:dyDescent="0.2">
      <c r="B232" s="3" t="s">
        <v>260</v>
      </c>
      <c r="C232" s="935">
        <v>0</v>
      </c>
      <c r="D232" s="935">
        <v>0</v>
      </c>
      <c r="E232" s="935">
        <v>0</v>
      </c>
      <c r="F232" s="935">
        <v>0</v>
      </c>
      <c r="G232" s="935">
        <v>0</v>
      </c>
      <c r="H232" s="935">
        <v>0</v>
      </c>
      <c r="I232" s="935">
        <v>0</v>
      </c>
      <c r="J232" s="935">
        <v>0</v>
      </c>
      <c r="K232" s="935">
        <v>0</v>
      </c>
      <c r="L232" s="935">
        <v>0</v>
      </c>
      <c r="M232" s="935">
        <v>0</v>
      </c>
      <c r="N232" s="935">
        <v>0</v>
      </c>
      <c r="O232" s="935">
        <v>0</v>
      </c>
      <c r="P232" s="935">
        <v>0</v>
      </c>
      <c r="Q232" s="935">
        <v>0</v>
      </c>
      <c r="R232" s="935">
        <v>0</v>
      </c>
      <c r="S232" s="935">
        <v>0</v>
      </c>
      <c r="T232" s="935">
        <v>0</v>
      </c>
      <c r="U232" s="935">
        <v>0</v>
      </c>
      <c r="V232" s="935">
        <v>0</v>
      </c>
      <c r="W232" s="935">
        <f t="shared" si="20"/>
        <v>0</v>
      </c>
    </row>
    <row r="233" spans="2:23" x14ac:dyDescent="0.2">
      <c r="C233" s="935"/>
      <c r="D233" s="935"/>
      <c r="E233" s="935"/>
      <c r="F233" s="935"/>
      <c r="G233" s="935"/>
      <c r="H233" s="935"/>
      <c r="I233" s="935"/>
      <c r="J233" s="935"/>
      <c r="K233" s="935"/>
      <c r="L233" s="935"/>
      <c r="M233" s="935"/>
      <c r="N233" s="935"/>
      <c r="O233" s="935"/>
      <c r="P233" s="935"/>
      <c r="Q233" s="935"/>
      <c r="R233" s="935"/>
      <c r="S233" s="935"/>
      <c r="T233" s="935"/>
      <c r="U233" s="935"/>
      <c r="V233" s="935"/>
      <c r="W233" s="935">
        <f t="shared" si="20"/>
        <v>0</v>
      </c>
    </row>
  </sheetData>
  <pageMargins left="0.7" right="0.7" top="0.75" bottom="0.75" header="0.3" footer="0.3"/>
  <pageSetup scale="50" orientation="portrait" r:id="rId1"/>
  <colBreaks count="2" manualBreakCount="2">
    <brk id="8" max="1048575" man="1"/>
    <brk id="16" max="1048575" man="1"/>
  </col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66B13-126A-4390-95F8-259BDCC04A34}">
  <sheetPr>
    <tabColor rgb="FFFF0000"/>
  </sheetPr>
  <dimension ref="A1:I114"/>
  <sheetViews>
    <sheetView showGridLines="0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4.25" x14ac:dyDescent="0.2"/>
  <cols>
    <col min="1" max="1" width="3" style="342" customWidth="1"/>
    <col min="2" max="2" width="12" style="342" customWidth="1"/>
    <col min="3" max="3" width="52.42578125" style="340" bestFit="1" customWidth="1"/>
    <col min="4" max="4" width="19.28515625" style="340" customWidth="1"/>
    <col min="5" max="5" width="17.28515625" style="340" customWidth="1"/>
    <col min="6" max="6" width="15.85546875" style="340" customWidth="1"/>
    <col min="7" max="7" width="20" style="340" customWidth="1"/>
    <col min="8" max="8" width="15.85546875" style="340" bestFit="1" customWidth="1"/>
    <col min="9" max="9" width="20.28515625" style="340" customWidth="1"/>
    <col min="10" max="16384" width="9.140625" style="340"/>
  </cols>
  <sheetData>
    <row r="1" spans="1:9" ht="15" x14ac:dyDescent="0.25">
      <c r="A1" s="334" t="s">
        <v>309</v>
      </c>
      <c r="B1" s="335"/>
      <c r="C1" s="336" t="s">
        <v>782</v>
      </c>
      <c r="D1" s="337">
        <v>-1</v>
      </c>
      <c r="E1" s="338">
        <v>-2</v>
      </c>
      <c r="F1" s="339">
        <v>-3</v>
      </c>
      <c r="G1" s="338">
        <v>-4</v>
      </c>
      <c r="H1" s="337"/>
    </row>
    <row r="2" spans="1:9" ht="15" x14ac:dyDescent="0.25">
      <c r="A2" s="341" t="s">
        <v>311</v>
      </c>
      <c r="C2" s="343" t="s">
        <v>783</v>
      </c>
      <c r="D2" s="344"/>
      <c r="E2" s="345" t="s">
        <v>313</v>
      </c>
      <c r="F2" s="346" t="s">
        <v>314</v>
      </c>
      <c r="G2" s="347"/>
      <c r="H2" s="348" t="s">
        <v>315</v>
      </c>
    </row>
    <row r="3" spans="1:9" s="356" customFormat="1" ht="15" x14ac:dyDescent="0.2">
      <c r="A3" s="349"/>
      <c r="B3" s="350"/>
      <c r="C3" s="351"/>
      <c r="D3" s="352" t="s">
        <v>316</v>
      </c>
      <c r="E3" s="352" t="s">
        <v>317</v>
      </c>
      <c r="F3" s="353" t="s">
        <v>0</v>
      </c>
      <c r="G3" s="354"/>
      <c r="H3" s="355" t="s">
        <v>318</v>
      </c>
    </row>
    <row r="4" spans="1:9" s="357" customFormat="1" ht="15" x14ac:dyDescent="0.2">
      <c r="A4" s="349"/>
      <c r="B4" s="350"/>
      <c r="C4" s="351" t="s">
        <v>319</v>
      </c>
      <c r="D4" s="352" t="s">
        <v>320</v>
      </c>
      <c r="E4" s="352" t="s">
        <v>320</v>
      </c>
      <c r="F4" s="355" t="s">
        <v>321</v>
      </c>
      <c r="G4" s="352" t="s">
        <v>322</v>
      </c>
      <c r="H4" s="355" t="s">
        <v>323</v>
      </c>
      <c r="I4" s="356"/>
    </row>
    <row r="5" spans="1:9" s="357" customFormat="1" ht="15" x14ac:dyDescent="0.25">
      <c r="A5" s="358"/>
      <c r="B5" s="359"/>
      <c r="C5" s="360" t="s">
        <v>315</v>
      </c>
      <c r="D5" s="361">
        <v>43281</v>
      </c>
      <c r="E5" s="361">
        <v>43646</v>
      </c>
      <c r="F5" s="362" t="s">
        <v>324</v>
      </c>
      <c r="G5" s="363" t="s">
        <v>324</v>
      </c>
      <c r="H5" s="362" t="s">
        <v>0</v>
      </c>
      <c r="I5" s="364" t="s">
        <v>441</v>
      </c>
    </row>
    <row r="6" spans="1:9" ht="15" x14ac:dyDescent="0.25">
      <c r="A6" s="365" t="s">
        <v>326</v>
      </c>
      <c r="B6" s="366"/>
      <c r="C6" s="367" t="s">
        <v>327</v>
      </c>
      <c r="D6" s="368"/>
      <c r="E6" s="368"/>
      <c r="F6" s="369"/>
      <c r="G6" s="370"/>
      <c r="H6" s="371">
        <v>266906589</v>
      </c>
      <c r="I6" s="372"/>
    </row>
    <row r="7" spans="1:9" x14ac:dyDescent="0.2">
      <c r="A7" s="373" t="s">
        <v>328</v>
      </c>
      <c r="B7" s="374"/>
      <c r="C7" s="375" t="s">
        <v>329</v>
      </c>
      <c r="D7" s="368">
        <v>0</v>
      </c>
      <c r="E7" s="368">
        <v>0</v>
      </c>
      <c r="F7" s="369">
        <v>0</v>
      </c>
      <c r="G7" s="370">
        <v>0</v>
      </c>
      <c r="H7" s="371">
        <v>0</v>
      </c>
      <c r="I7" s="372"/>
    </row>
    <row r="8" spans="1:9" x14ac:dyDescent="0.2">
      <c r="A8" s="376"/>
      <c r="B8" s="374" t="s">
        <v>330</v>
      </c>
      <c r="C8" s="375" t="s">
        <v>274</v>
      </c>
      <c r="D8" s="368">
        <v>0</v>
      </c>
      <c r="E8" s="368">
        <v>0</v>
      </c>
      <c r="F8" s="368"/>
      <c r="G8" s="370">
        <v>0</v>
      </c>
      <c r="H8" s="371">
        <v>0</v>
      </c>
      <c r="I8" s="372"/>
    </row>
    <row r="9" spans="1:9" x14ac:dyDescent="0.2">
      <c r="A9" s="376"/>
      <c r="B9" s="374" t="s">
        <v>331</v>
      </c>
      <c r="C9" s="375" t="s">
        <v>332</v>
      </c>
      <c r="D9" s="368">
        <v>0</v>
      </c>
      <c r="E9" s="368">
        <v>0</v>
      </c>
      <c r="F9" s="368"/>
      <c r="G9" s="370">
        <v>0</v>
      </c>
      <c r="H9" s="371">
        <v>0</v>
      </c>
      <c r="I9" s="372"/>
    </row>
    <row r="10" spans="1:9" hidden="1" x14ac:dyDescent="0.2">
      <c r="A10" s="376"/>
      <c r="B10" s="374" t="s">
        <v>333</v>
      </c>
      <c r="C10" s="375" t="s">
        <v>334</v>
      </c>
      <c r="D10" s="368">
        <v>0</v>
      </c>
      <c r="E10" s="368">
        <v>0</v>
      </c>
      <c r="F10" s="368"/>
      <c r="G10" s="370">
        <v>0</v>
      </c>
      <c r="H10" s="371">
        <v>0</v>
      </c>
      <c r="I10" s="372"/>
    </row>
    <row r="11" spans="1:9" x14ac:dyDescent="0.2">
      <c r="A11" s="376"/>
      <c r="B11" s="374" t="s">
        <v>335</v>
      </c>
      <c r="C11" s="375" t="s">
        <v>276</v>
      </c>
      <c r="D11" s="368">
        <v>0</v>
      </c>
      <c r="E11" s="368">
        <v>0</v>
      </c>
      <c r="F11" s="368"/>
      <c r="G11" s="370">
        <v>0</v>
      </c>
      <c r="H11" s="371">
        <v>0</v>
      </c>
      <c r="I11" s="372"/>
    </row>
    <row r="12" spans="1:9" x14ac:dyDescent="0.2">
      <c r="A12" s="376"/>
      <c r="B12" s="374" t="s">
        <v>336</v>
      </c>
      <c r="C12" s="375" t="s">
        <v>227</v>
      </c>
      <c r="D12" s="368">
        <v>0</v>
      </c>
      <c r="E12" s="368">
        <v>0</v>
      </c>
      <c r="F12" s="369">
        <v>0</v>
      </c>
      <c r="G12" s="370">
        <v>0</v>
      </c>
      <c r="H12" s="371">
        <v>0</v>
      </c>
      <c r="I12" s="372"/>
    </row>
    <row r="13" spans="1:9" x14ac:dyDescent="0.2">
      <c r="A13" s="376" t="s">
        <v>337</v>
      </c>
      <c r="B13" s="374"/>
      <c r="C13" s="375" t="s">
        <v>338</v>
      </c>
      <c r="D13" s="368">
        <v>0</v>
      </c>
      <c r="E13" s="368">
        <v>0</v>
      </c>
      <c r="F13" s="369">
        <v>0</v>
      </c>
      <c r="G13" s="370">
        <v>0</v>
      </c>
      <c r="H13" s="371">
        <v>0</v>
      </c>
      <c r="I13" s="372"/>
    </row>
    <row r="14" spans="1:9" x14ac:dyDescent="0.2">
      <c r="A14" s="376"/>
      <c r="B14" s="374" t="s">
        <v>339</v>
      </c>
      <c r="C14" s="375" t="s">
        <v>277</v>
      </c>
      <c r="D14" s="368">
        <v>0</v>
      </c>
      <c r="E14" s="368">
        <v>0</v>
      </c>
      <c r="F14" s="368"/>
      <c r="G14" s="370">
        <v>0</v>
      </c>
      <c r="H14" s="371">
        <v>0</v>
      </c>
      <c r="I14" s="372"/>
    </row>
    <row r="15" spans="1:9" x14ac:dyDescent="0.2">
      <c r="A15" s="376"/>
      <c r="B15" s="374" t="s">
        <v>340</v>
      </c>
      <c r="C15" s="375" t="s">
        <v>278</v>
      </c>
      <c r="D15" s="368">
        <v>0</v>
      </c>
      <c r="E15" s="368">
        <v>0</v>
      </c>
      <c r="F15" s="368"/>
      <c r="G15" s="370">
        <v>0</v>
      </c>
      <c r="H15" s="371">
        <v>0</v>
      </c>
      <c r="I15" s="372"/>
    </row>
    <row r="16" spans="1:9" x14ac:dyDescent="0.2">
      <c r="A16" s="376"/>
      <c r="B16" s="374" t="s">
        <v>341</v>
      </c>
      <c r="C16" s="375" t="s">
        <v>342</v>
      </c>
      <c r="D16" s="368">
        <v>0</v>
      </c>
      <c r="E16" s="368">
        <v>0</v>
      </c>
      <c r="F16" s="369">
        <v>0</v>
      </c>
      <c r="G16" s="370">
        <v>0</v>
      </c>
      <c r="H16" s="371">
        <v>185000</v>
      </c>
      <c r="I16" s="372"/>
    </row>
    <row r="17" spans="1:9" hidden="1" x14ac:dyDescent="0.2">
      <c r="A17" s="376" t="s">
        <v>343</v>
      </c>
      <c r="B17" s="374"/>
      <c r="C17" s="375" t="s">
        <v>344</v>
      </c>
      <c r="D17" s="368">
        <v>0</v>
      </c>
      <c r="E17" s="368">
        <v>0</v>
      </c>
      <c r="F17" s="369">
        <v>0</v>
      </c>
      <c r="G17" s="370">
        <v>0</v>
      </c>
      <c r="H17" s="371">
        <v>0</v>
      </c>
      <c r="I17" s="372"/>
    </row>
    <row r="18" spans="1:9" x14ac:dyDescent="0.2">
      <c r="A18" s="376" t="s">
        <v>345</v>
      </c>
      <c r="B18" s="374"/>
      <c r="C18" s="375" t="s">
        <v>282</v>
      </c>
      <c r="D18" s="368">
        <v>0</v>
      </c>
      <c r="E18" s="368">
        <v>0</v>
      </c>
      <c r="F18" s="369">
        <v>0</v>
      </c>
      <c r="G18" s="370">
        <v>0</v>
      </c>
      <c r="H18" s="371">
        <f>256000+20000+40000</f>
        <v>316000</v>
      </c>
      <c r="I18" s="372"/>
    </row>
    <row r="19" spans="1:9" x14ac:dyDescent="0.2">
      <c r="A19" s="376" t="s">
        <v>346</v>
      </c>
      <c r="B19" s="374"/>
      <c r="C19" s="375" t="s">
        <v>283</v>
      </c>
      <c r="D19" s="368">
        <v>0</v>
      </c>
      <c r="E19" s="368">
        <v>0</v>
      </c>
      <c r="F19" s="369">
        <v>0</v>
      </c>
      <c r="G19" s="370">
        <v>0</v>
      </c>
      <c r="H19" s="371">
        <v>620000</v>
      </c>
      <c r="I19" s="372"/>
    </row>
    <row r="20" spans="1:9" x14ac:dyDescent="0.2">
      <c r="A20" s="376" t="s">
        <v>347</v>
      </c>
      <c r="B20" s="374"/>
      <c r="C20" s="375" t="s">
        <v>284</v>
      </c>
      <c r="D20" s="368">
        <v>0</v>
      </c>
      <c r="E20" s="368">
        <v>0</v>
      </c>
      <c r="F20" s="369">
        <v>0</v>
      </c>
      <c r="G20" s="370">
        <v>0</v>
      </c>
      <c r="H20" s="371">
        <v>1000000</v>
      </c>
      <c r="I20" s="372"/>
    </row>
    <row r="21" spans="1:9" hidden="1" x14ac:dyDescent="0.2">
      <c r="A21" s="376" t="s">
        <v>348</v>
      </c>
      <c r="B21" s="374"/>
      <c r="C21" s="375" t="s">
        <v>349</v>
      </c>
      <c r="D21" s="368">
        <v>0</v>
      </c>
      <c r="E21" s="368">
        <v>0</v>
      </c>
      <c r="F21" s="369">
        <v>0</v>
      </c>
      <c r="G21" s="370">
        <v>0</v>
      </c>
      <c r="H21" s="371">
        <v>0</v>
      </c>
      <c r="I21" s="372"/>
    </row>
    <row r="22" spans="1:9" hidden="1" x14ac:dyDescent="0.2">
      <c r="A22" s="376"/>
      <c r="B22" s="374" t="s">
        <v>350</v>
      </c>
      <c r="C22" s="375" t="s">
        <v>351</v>
      </c>
      <c r="D22" s="368">
        <v>0</v>
      </c>
      <c r="E22" s="368">
        <v>0</v>
      </c>
      <c r="F22" s="369">
        <v>0</v>
      </c>
      <c r="G22" s="370">
        <v>0</v>
      </c>
      <c r="H22" s="371">
        <v>0</v>
      </c>
      <c r="I22" s="372"/>
    </row>
    <row r="23" spans="1:9" hidden="1" x14ac:dyDescent="0.2">
      <c r="A23" s="376"/>
      <c r="B23" s="374" t="s">
        <v>352</v>
      </c>
      <c r="C23" s="375" t="s">
        <v>353</v>
      </c>
      <c r="D23" s="368">
        <v>0</v>
      </c>
      <c r="E23" s="368">
        <v>0</v>
      </c>
      <c r="F23" s="369">
        <v>0</v>
      </c>
      <c r="G23" s="370">
        <v>0</v>
      </c>
      <c r="H23" s="371">
        <v>0</v>
      </c>
      <c r="I23" s="372"/>
    </row>
    <row r="24" spans="1:9" hidden="1" x14ac:dyDescent="0.2">
      <c r="A24" s="376"/>
      <c r="B24" s="374" t="s">
        <v>354</v>
      </c>
      <c r="C24" s="375" t="s">
        <v>355</v>
      </c>
      <c r="D24" s="368">
        <v>0</v>
      </c>
      <c r="E24" s="368">
        <v>0</v>
      </c>
      <c r="F24" s="369">
        <v>0</v>
      </c>
      <c r="G24" s="370">
        <v>0</v>
      </c>
      <c r="H24" s="371">
        <v>0</v>
      </c>
      <c r="I24" s="372"/>
    </row>
    <row r="25" spans="1:9" hidden="1" x14ac:dyDescent="0.2">
      <c r="A25" s="376"/>
      <c r="B25" s="374" t="s">
        <v>356</v>
      </c>
      <c r="C25" s="375" t="s">
        <v>357</v>
      </c>
      <c r="D25" s="368">
        <v>0</v>
      </c>
      <c r="E25" s="368">
        <v>0</v>
      </c>
      <c r="F25" s="369">
        <v>0</v>
      </c>
      <c r="G25" s="370">
        <v>0</v>
      </c>
      <c r="H25" s="371">
        <v>0</v>
      </c>
      <c r="I25" s="372"/>
    </row>
    <row r="26" spans="1:9" x14ac:dyDescent="0.2">
      <c r="A26" s="373" t="s">
        <v>358</v>
      </c>
      <c r="B26" s="374"/>
      <c r="C26" s="375" t="s">
        <v>359</v>
      </c>
      <c r="D26" s="368">
        <v>0</v>
      </c>
      <c r="E26" s="368">
        <v>0</v>
      </c>
      <c r="F26" s="369">
        <v>0</v>
      </c>
      <c r="G26" s="370">
        <v>0</v>
      </c>
      <c r="H26" s="371">
        <v>270000</v>
      </c>
      <c r="I26" s="372"/>
    </row>
    <row r="27" spans="1:9" hidden="1" x14ac:dyDescent="0.2">
      <c r="A27" s="373" t="s">
        <v>360</v>
      </c>
      <c r="B27" s="374"/>
      <c r="C27" s="375" t="s">
        <v>361</v>
      </c>
      <c r="D27" s="368">
        <v>0</v>
      </c>
      <c r="E27" s="368">
        <v>0</v>
      </c>
      <c r="F27" s="369">
        <v>0</v>
      </c>
      <c r="G27" s="370">
        <v>0</v>
      </c>
      <c r="H27" s="371">
        <v>0</v>
      </c>
      <c r="I27" s="372"/>
    </row>
    <row r="28" spans="1:9" x14ac:dyDescent="0.2">
      <c r="A28" s="373" t="s">
        <v>362</v>
      </c>
      <c r="B28" s="374"/>
      <c r="C28" s="375" t="s">
        <v>280</v>
      </c>
      <c r="D28" s="368">
        <v>0</v>
      </c>
      <c r="E28" s="368">
        <v>0</v>
      </c>
      <c r="F28" s="369">
        <v>0</v>
      </c>
      <c r="G28" s="370">
        <v>0</v>
      </c>
      <c r="H28" s="371">
        <f>4498976+1600000+1750000+1500000</f>
        <v>9348976</v>
      </c>
      <c r="I28" s="372" t="s">
        <v>784</v>
      </c>
    </row>
    <row r="29" spans="1:9" hidden="1" x14ac:dyDescent="0.2">
      <c r="A29" s="377"/>
      <c r="B29" s="378" t="s">
        <v>363</v>
      </c>
      <c r="C29" s="375" t="s">
        <v>287</v>
      </c>
      <c r="D29" s="368">
        <v>0</v>
      </c>
      <c r="E29" s="368">
        <v>0</v>
      </c>
      <c r="F29" s="369">
        <v>0</v>
      </c>
      <c r="G29" s="370">
        <v>0</v>
      </c>
      <c r="H29" s="371">
        <v>0</v>
      </c>
      <c r="I29" s="372"/>
    </row>
    <row r="30" spans="1:9" hidden="1" x14ac:dyDescent="0.2">
      <c r="A30" s="379"/>
      <c r="B30" s="378" t="s">
        <v>364</v>
      </c>
      <c r="C30" s="380" t="s">
        <v>288</v>
      </c>
      <c r="D30" s="368">
        <v>0</v>
      </c>
      <c r="E30" s="368">
        <v>0</v>
      </c>
      <c r="F30" s="369">
        <v>0</v>
      </c>
      <c r="G30" s="370">
        <v>0</v>
      </c>
      <c r="H30" s="371">
        <v>0</v>
      </c>
      <c r="I30" s="372"/>
    </row>
    <row r="31" spans="1:9" hidden="1" x14ac:dyDescent="0.2">
      <c r="A31" s="373" t="s">
        <v>365</v>
      </c>
      <c r="B31" s="374"/>
      <c r="C31" s="375" t="s">
        <v>366</v>
      </c>
      <c r="D31" s="368">
        <v>0</v>
      </c>
      <c r="E31" s="368">
        <v>0</v>
      </c>
      <c r="F31" s="369">
        <v>0</v>
      </c>
      <c r="G31" s="370">
        <v>0</v>
      </c>
      <c r="H31" s="371">
        <v>0</v>
      </c>
      <c r="I31" s="372"/>
    </row>
    <row r="32" spans="1:9" hidden="1" x14ac:dyDescent="0.2">
      <c r="A32" s="379"/>
      <c r="B32" s="378" t="s">
        <v>367</v>
      </c>
      <c r="C32" s="375" t="s">
        <v>289</v>
      </c>
      <c r="D32" s="368">
        <v>0</v>
      </c>
      <c r="E32" s="368">
        <v>0</v>
      </c>
      <c r="F32" s="369">
        <v>0</v>
      </c>
      <c r="G32" s="370">
        <v>0</v>
      </c>
      <c r="H32" s="371">
        <v>0</v>
      </c>
      <c r="I32" s="372"/>
    </row>
    <row r="33" spans="1:9" ht="15.75" thickBot="1" x14ac:dyDescent="0.3">
      <c r="A33" s="381" t="s">
        <v>124</v>
      </c>
      <c r="B33" s="382"/>
      <c r="C33" s="383"/>
      <c r="D33" s="384">
        <f>SUM(D6:D32)</f>
        <v>0</v>
      </c>
      <c r="E33" s="384">
        <f>SUM(E6:E32)</f>
        <v>0</v>
      </c>
      <c r="F33" s="385">
        <f>SUM(F6:F32)</f>
        <v>0</v>
      </c>
      <c r="G33" s="384">
        <f>SUM(G6:G32)</f>
        <v>0</v>
      </c>
      <c r="H33" s="386">
        <f>SUM(H6:H32)</f>
        <v>278646565</v>
      </c>
      <c r="I33" s="372"/>
    </row>
    <row r="34" spans="1:9" ht="15.75" thickTop="1" x14ac:dyDescent="0.25">
      <c r="A34" s="387" t="s">
        <v>368</v>
      </c>
      <c r="B34" s="388"/>
      <c r="C34" s="389" t="s">
        <v>369</v>
      </c>
      <c r="D34" s="368"/>
      <c r="E34" s="368"/>
      <c r="F34" s="369"/>
      <c r="G34" s="370"/>
      <c r="H34" s="390">
        <f>68500+'[16]PCFP-All Expense AA-1 Modified'!I119-38850</f>
        <v>15395849</v>
      </c>
      <c r="I34" s="372"/>
    </row>
    <row r="35" spans="1:9" x14ac:dyDescent="0.2">
      <c r="A35" s="376"/>
      <c r="B35" s="374" t="s">
        <v>370</v>
      </c>
      <c r="C35" s="375" t="s">
        <v>371</v>
      </c>
      <c r="D35" s="368">
        <v>0</v>
      </c>
      <c r="E35" s="368">
        <v>0</v>
      </c>
      <c r="F35" s="368"/>
      <c r="G35" s="370">
        <v>0</v>
      </c>
      <c r="H35" s="371">
        <v>0</v>
      </c>
      <c r="I35" s="372"/>
    </row>
    <row r="36" spans="1:9" ht="15" x14ac:dyDescent="0.25">
      <c r="A36" s="391"/>
      <c r="B36" s="392" t="s">
        <v>372</v>
      </c>
      <c r="C36" s="393" t="s">
        <v>373</v>
      </c>
      <c r="D36" s="368">
        <v>0</v>
      </c>
      <c r="E36" s="368">
        <v>0</v>
      </c>
      <c r="F36" s="369">
        <v>408766034.76120168</v>
      </c>
      <c r="G36" s="370">
        <v>0</v>
      </c>
      <c r="H36" s="371">
        <v>0</v>
      </c>
      <c r="I36" s="120"/>
    </row>
    <row r="37" spans="1:9" x14ac:dyDescent="0.2">
      <c r="A37" s="376"/>
      <c r="B37" s="374" t="s">
        <v>374</v>
      </c>
      <c r="C37" s="375" t="s">
        <v>293</v>
      </c>
      <c r="D37" s="368">
        <v>0</v>
      </c>
      <c r="E37" s="368">
        <v>0</v>
      </c>
      <c r="F37" s="368"/>
      <c r="G37" s="370">
        <v>0</v>
      </c>
      <c r="H37" s="371">
        <v>0</v>
      </c>
      <c r="I37" s="372"/>
    </row>
    <row r="38" spans="1:9" ht="15" x14ac:dyDescent="0.25">
      <c r="A38" s="376"/>
      <c r="B38" s="396" t="s">
        <v>10</v>
      </c>
      <c r="C38" s="397" t="s">
        <v>561</v>
      </c>
      <c r="D38" s="368">
        <v>0</v>
      </c>
      <c r="E38" s="368">
        <v>0</v>
      </c>
      <c r="F38" s="369">
        <v>87874136.034401178</v>
      </c>
      <c r="G38" s="370">
        <v>0</v>
      </c>
      <c r="H38" s="371">
        <v>0</v>
      </c>
      <c r="I38" s="120"/>
    </row>
    <row r="39" spans="1:9" ht="15" x14ac:dyDescent="0.25">
      <c r="A39" s="376"/>
      <c r="B39" s="396" t="s">
        <v>10</v>
      </c>
      <c r="C39" s="397" t="s">
        <v>141</v>
      </c>
      <c r="D39" s="368">
        <v>0</v>
      </c>
      <c r="E39" s="368">
        <v>0</v>
      </c>
      <c r="F39" s="369">
        <v>14612756.389874225</v>
      </c>
      <c r="G39" s="370">
        <v>0</v>
      </c>
      <c r="H39" s="371">
        <v>0</v>
      </c>
      <c r="I39" s="372"/>
    </row>
    <row r="40" spans="1:9" ht="15" x14ac:dyDescent="0.25">
      <c r="A40" s="376"/>
      <c r="B40" s="396" t="s">
        <v>10</v>
      </c>
      <c r="C40" s="397" t="s">
        <v>564</v>
      </c>
      <c r="D40" s="368">
        <v>0</v>
      </c>
      <c r="E40" s="368">
        <v>0</v>
      </c>
      <c r="F40" s="369">
        <v>8129779.6287466064</v>
      </c>
      <c r="G40" s="370">
        <v>0</v>
      </c>
      <c r="H40" s="371">
        <v>0</v>
      </c>
      <c r="I40" s="372"/>
    </row>
    <row r="41" spans="1:9" ht="15" x14ac:dyDescent="0.25">
      <c r="A41" s="376"/>
      <c r="B41" s="396" t="s">
        <v>10</v>
      </c>
      <c r="C41" s="397" t="s">
        <v>566</v>
      </c>
      <c r="D41" s="368">
        <v>0</v>
      </c>
      <c r="E41" s="368">
        <v>0</v>
      </c>
      <c r="F41" s="369">
        <v>5174149.6229372937</v>
      </c>
      <c r="G41" s="370">
        <v>0</v>
      </c>
      <c r="H41" s="371">
        <v>0</v>
      </c>
      <c r="I41" s="372"/>
    </row>
    <row r="42" spans="1:9" s="407" customFormat="1" x14ac:dyDescent="0.2">
      <c r="A42" s="399" t="s">
        <v>377</v>
      </c>
      <c r="B42" s="400"/>
      <c r="C42" s="401" t="s">
        <v>378</v>
      </c>
      <c r="D42" s="402">
        <v>0</v>
      </c>
      <c r="E42" s="402">
        <v>0</v>
      </c>
      <c r="F42" s="557">
        <v>0</v>
      </c>
      <c r="G42" s="404">
        <v>0</v>
      </c>
      <c r="H42" s="405">
        <v>0</v>
      </c>
      <c r="I42" s="558"/>
    </row>
    <row r="43" spans="1:9" x14ac:dyDescent="0.2">
      <c r="A43" s="376"/>
      <c r="B43" s="374" t="s">
        <v>379</v>
      </c>
      <c r="C43" s="375" t="s">
        <v>31</v>
      </c>
      <c r="D43" s="368">
        <v>0</v>
      </c>
      <c r="E43" s="368">
        <v>0</v>
      </c>
      <c r="F43" s="368">
        <v>0</v>
      </c>
      <c r="G43" s="370">
        <v>0</v>
      </c>
      <c r="H43" s="371">
        <v>0</v>
      </c>
      <c r="I43" s="372"/>
    </row>
    <row r="44" spans="1:9" ht="15" x14ac:dyDescent="0.25">
      <c r="A44" s="376"/>
      <c r="B44" s="396" t="s">
        <v>33</v>
      </c>
      <c r="C44" s="397" t="s">
        <v>222</v>
      </c>
      <c r="D44" s="368">
        <v>0</v>
      </c>
      <c r="E44" s="368">
        <v>0</v>
      </c>
      <c r="F44" s="369">
        <v>25940872</v>
      </c>
      <c r="G44" s="370">
        <v>0</v>
      </c>
      <c r="H44" s="371"/>
      <c r="I44" s="372"/>
    </row>
    <row r="45" spans="1:9" x14ac:dyDescent="0.2">
      <c r="A45" s="376"/>
      <c r="B45" s="374" t="s">
        <v>380</v>
      </c>
      <c r="C45" s="375" t="s">
        <v>381</v>
      </c>
      <c r="D45" s="368">
        <v>0</v>
      </c>
      <c r="E45" s="368">
        <v>0</v>
      </c>
      <c r="F45" s="369">
        <v>0</v>
      </c>
      <c r="G45" s="370">
        <v>0</v>
      </c>
      <c r="H45" s="371">
        <v>0</v>
      </c>
      <c r="I45" s="372"/>
    </row>
    <row r="46" spans="1:9" x14ac:dyDescent="0.2">
      <c r="A46" s="376"/>
      <c r="B46" s="374" t="s">
        <v>382</v>
      </c>
      <c r="C46" s="375" t="s">
        <v>191</v>
      </c>
      <c r="D46" s="368">
        <v>0</v>
      </c>
      <c r="E46" s="368">
        <v>0</v>
      </c>
      <c r="F46" s="368">
        <v>0</v>
      </c>
      <c r="G46" s="370">
        <v>0</v>
      </c>
      <c r="H46" s="371">
        <v>0</v>
      </c>
      <c r="I46" s="372"/>
    </row>
    <row r="47" spans="1:9" hidden="1" x14ac:dyDescent="0.2">
      <c r="A47" s="376" t="s">
        <v>383</v>
      </c>
      <c r="B47" s="408"/>
      <c r="C47" s="375" t="s">
        <v>384</v>
      </c>
      <c r="D47" s="368">
        <v>0</v>
      </c>
      <c r="E47" s="368">
        <v>0</v>
      </c>
      <c r="F47" s="369">
        <v>0</v>
      </c>
      <c r="G47" s="370">
        <v>0</v>
      </c>
      <c r="H47" s="371">
        <v>0</v>
      </c>
      <c r="I47" s="409"/>
    </row>
    <row r="48" spans="1:9" hidden="1" x14ac:dyDescent="0.2">
      <c r="A48" s="376" t="s">
        <v>385</v>
      </c>
      <c r="B48" s="410"/>
      <c r="C48" s="375" t="s">
        <v>386</v>
      </c>
      <c r="D48" s="368">
        <v>0</v>
      </c>
      <c r="E48" s="368">
        <v>0</v>
      </c>
      <c r="F48" s="369">
        <v>0</v>
      </c>
      <c r="G48" s="370">
        <v>0</v>
      </c>
      <c r="H48" s="371">
        <v>0</v>
      </c>
      <c r="I48" s="372"/>
    </row>
    <row r="49" spans="1:9" ht="15.75" thickBot="1" x14ac:dyDescent="0.3">
      <c r="A49" s="411" t="s">
        <v>125</v>
      </c>
      <c r="B49" s="412"/>
      <c r="C49" s="413"/>
      <c r="D49" s="414">
        <f>SUM(D34:D48)</f>
        <v>0</v>
      </c>
      <c r="E49" s="414">
        <f>SUM(E34:E48)</f>
        <v>0</v>
      </c>
      <c r="F49" s="415">
        <f>SUM(F34:F48)</f>
        <v>550497728.43716097</v>
      </c>
      <c r="G49" s="414">
        <f>SUM(G34:G48)</f>
        <v>0</v>
      </c>
      <c r="H49" s="386">
        <f>SUM(H34:H48)</f>
        <v>15395849</v>
      </c>
      <c r="I49" s="416"/>
    </row>
    <row r="50" spans="1:9" ht="15.75" thickTop="1" x14ac:dyDescent="0.25">
      <c r="A50" s="417"/>
      <c r="B50" s="418"/>
      <c r="C50" s="418"/>
      <c r="D50" s="418"/>
      <c r="E50" s="418"/>
      <c r="F50" s="418"/>
      <c r="G50" s="418"/>
      <c r="H50" s="419"/>
      <c r="I50" s="336"/>
    </row>
    <row r="51" spans="1:9" ht="15" x14ac:dyDescent="0.25">
      <c r="A51" s="420" t="s">
        <v>569</v>
      </c>
      <c r="B51" s="421"/>
      <c r="C51" s="421"/>
      <c r="D51" s="421"/>
      <c r="E51" s="421"/>
      <c r="F51" s="421"/>
      <c r="G51" s="421"/>
      <c r="H51" s="422"/>
      <c r="I51" s="423"/>
    </row>
    <row r="52" spans="1:9" ht="15" x14ac:dyDescent="0.25">
      <c r="A52" s="417" t="s">
        <v>387</v>
      </c>
      <c r="B52" s="418"/>
      <c r="C52" s="424" t="s">
        <v>388</v>
      </c>
      <c r="D52" s="425"/>
      <c r="E52" s="426"/>
      <c r="F52" s="427"/>
      <c r="G52" s="426"/>
      <c r="H52" s="559">
        <f>21058860+40573585+490000</f>
        <v>62122445</v>
      </c>
      <c r="I52" s="429"/>
    </row>
    <row r="53" spans="1:9" hidden="1" x14ac:dyDescent="0.2">
      <c r="A53" s="430" t="s">
        <v>389</v>
      </c>
      <c r="B53" s="431"/>
      <c r="C53" s="375" t="s">
        <v>390</v>
      </c>
      <c r="D53" s="432">
        <v>0</v>
      </c>
      <c r="E53" s="368">
        <v>0</v>
      </c>
      <c r="F53" s="433">
        <v>0</v>
      </c>
      <c r="G53" s="432">
        <v>0</v>
      </c>
      <c r="H53" s="390">
        <v>0</v>
      </c>
      <c r="I53" s="372"/>
    </row>
    <row r="54" spans="1:9" hidden="1" x14ac:dyDescent="0.2">
      <c r="A54" s="430" t="s">
        <v>391</v>
      </c>
      <c r="B54" s="431"/>
      <c r="C54" s="375" t="s">
        <v>392</v>
      </c>
      <c r="D54" s="432">
        <v>0</v>
      </c>
      <c r="E54" s="368">
        <v>0</v>
      </c>
      <c r="F54" s="433">
        <v>0</v>
      </c>
      <c r="G54" s="432">
        <v>0</v>
      </c>
      <c r="H54" s="390">
        <v>0</v>
      </c>
      <c r="I54" s="372"/>
    </row>
    <row r="55" spans="1:9" hidden="1" x14ac:dyDescent="0.2">
      <c r="A55" s="434" t="s">
        <v>395</v>
      </c>
      <c r="B55" s="431"/>
      <c r="C55" s="375" t="s">
        <v>299</v>
      </c>
      <c r="D55" s="432">
        <v>0</v>
      </c>
      <c r="E55" s="368">
        <v>0</v>
      </c>
      <c r="F55" s="433">
        <v>0</v>
      </c>
      <c r="G55" s="432">
        <v>0</v>
      </c>
      <c r="H55" s="390">
        <v>0</v>
      </c>
      <c r="I55" s="372"/>
    </row>
    <row r="56" spans="1:9" hidden="1" x14ac:dyDescent="0.2">
      <c r="A56" s="430" t="s">
        <v>396</v>
      </c>
      <c r="B56" s="431"/>
      <c r="C56" s="375" t="s">
        <v>298</v>
      </c>
      <c r="D56" s="432">
        <v>0</v>
      </c>
      <c r="E56" s="368">
        <v>0</v>
      </c>
      <c r="F56" s="433">
        <v>0</v>
      </c>
      <c r="G56" s="432">
        <v>0</v>
      </c>
      <c r="H56" s="390">
        <v>0</v>
      </c>
      <c r="I56" s="372"/>
    </row>
    <row r="57" spans="1:9" hidden="1" x14ac:dyDescent="0.2">
      <c r="A57" s="434" t="s">
        <v>397</v>
      </c>
      <c r="B57" s="431"/>
      <c r="C57" s="375" t="s">
        <v>398</v>
      </c>
      <c r="D57" s="432">
        <v>0</v>
      </c>
      <c r="E57" s="368">
        <v>0</v>
      </c>
      <c r="F57" s="433">
        <v>0</v>
      </c>
      <c r="G57" s="432">
        <v>0</v>
      </c>
      <c r="H57" s="390">
        <v>0</v>
      </c>
      <c r="I57" s="372"/>
    </row>
    <row r="58" spans="1:9" hidden="1" x14ac:dyDescent="0.2">
      <c r="A58" s="430" t="s">
        <v>399</v>
      </c>
      <c r="B58" s="431"/>
      <c r="C58" s="375" t="s">
        <v>400</v>
      </c>
      <c r="D58" s="432">
        <v>0</v>
      </c>
      <c r="E58" s="368">
        <v>0</v>
      </c>
      <c r="F58" s="433">
        <v>0</v>
      </c>
      <c r="G58" s="432">
        <v>0</v>
      </c>
      <c r="H58" s="390">
        <v>0</v>
      </c>
      <c r="I58" s="372"/>
    </row>
    <row r="59" spans="1:9" ht="15.75" thickBot="1" x14ac:dyDescent="0.3">
      <c r="A59" s="435" t="s">
        <v>126</v>
      </c>
      <c r="B59" s="436"/>
      <c r="C59" s="383"/>
      <c r="D59" s="384">
        <f>SUM(D52:D58)</f>
        <v>0</v>
      </c>
      <c r="E59" s="384">
        <f t="shared" ref="E59:H59" si="0">SUM(E52:E58)</f>
        <v>0</v>
      </c>
      <c r="F59" s="385">
        <f>SUM(F52:F58)</f>
        <v>0</v>
      </c>
      <c r="G59" s="384">
        <f t="shared" si="0"/>
        <v>0</v>
      </c>
      <c r="H59" s="386">
        <f t="shared" si="0"/>
        <v>62122445</v>
      </c>
      <c r="I59" s="372"/>
    </row>
    <row r="60" spans="1:9" ht="15.75" thickTop="1" x14ac:dyDescent="0.25">
      <c r="A60" s="420" t="s">
        <v>401</v>
      </c>
      <c r="B60" s="421"/>
      <c r="C60" s="367" t="s">
        <v>402</v>
      </c>
      <c r="D60" s="437"/>
      <c r="E60" s="438"/>
      <c r="F60" s="439"/>
      <c r="G60" s="438"/>
      <c r="H60" s="390">
        <v>368394266</v>
      </c>
      <c r="I60" s="372"/>
    </row>
    <row r="61" spans="1:9" hidden="1" x14ac:dyDescent="0.2">
      <c r="A61" s="430" t="s">
        <v>403</v>
      </c>
      <c r="B61" s="440"/>
      <c r="C61" s="375" t="s">
        <v>404</v>
      </c>
      <c r="D61" s="432">
        <v>0</v>
      </c>
      <c r="E61" s="441">
        <v>0</v>
      </c>
      <c r="F61" s="433">
        <v>0</v>
      </c>
      <c r="G61" s="432">
        <v>0</v>
      </c>
      <c r="H61" s="390">
        <v>0</v>
      </c>
      <c r="I61" s="372"/>
    </row>
    <row r="62" spans="1:9" hidden="1" x14ac:dyDescent="0.2">
      <c r="A62" s="434"/>
      <c r="B62" s="440" t="s">
        <v>405</v>
      </c>
      <c r="C62" s="375" t="s">
        <v>406</v>
      </c>
      <c r="D62" s="432">
        <v>0</v>
      </c>
      <c r="E62" s="368">
        <v>0</v>
      </c>
      <c r="F62" s="433">
        <v>0</v>
      </c>
      <c r="G62" s="432">
        <v>0</v>
      </c>
      <c r="H62" s="390">
        <v>0</v>
      </c>
      <c r="I62" s="372"/>
    </row>
    <row r="63" spans="1:9" hidden="1" x14ac:dyDescent="0.2">
      <c r="A63" s="434"/>
      <c r="B63" s="440" t="s">
        <v>407</v>
      </c>
      <c r="C63" s="375" t="s">
        <v>408</v>
      </c>
      <c r="D63" s="432">
        <v>0</v>
      </c>
      <c r="E63" s="368">
        <v>0</v>
      </c>
      <c r="F63" s="433">
        <v>0</v>
      </c>
      <c r="G63" s="432">
        <v>0</v>
      </c>
      <c r="H63" s="390">
        <v>0</v>
      </c>
      <c r="I63" s="372"/>
    </row>
    <row r="64" spans="1:9" x14ac:dyDescent="0.2">
      <c r="A64" s="434" t="s">
        <v>409</v>
      </c>
      <c r="B64" s="442"/>
      <c r="C64" s="375" t="s">
        <v>301</v>
      </c>
      <c r="D64" s="432">
        <v>0</v>
      </c>
      <c r="E64" s="368">
        <v>0</v>
      </c>
      <c r="F64" s="441"/>
      <c r="G64" s="432">
        <v>0</v>
      </c>
      <c r="H64" s="390">
        <v>45355506</v>
      </c>
      <c r="I64" s="372"/>
    </row>
    <row r="65" spans="1:9" x14ac:dyDescent="0.2">
      <c r="A65" s="434" t="s">
        <v>410</v>
      </c>
      <c r="B65" s="442"/>
      <c r="C65" s="375" t="s">
        <v>411</v>
      </c>
      <c r="D65" s="432">
        <v>0</v>
      </c>
      <c r="E65" s="368">
        <v>0</v>
      </c>
      <c r="F65" s="433">
        <v>0</v>
      </c>
      <c r="G65" s="432">
        <v>0</v>
      </c>
      <c r="H65" s="390">
        <v>80000</v>
      </c>
      <c r="I65" s="372"/>
    </row>
    <row r="66" spans="1:9" hidden="1" x14ac:dyDescent="0.2">
      <c r="A66" s="430" t="s">
        <v>412</v>
      </c>
      <c r="B66" s="442"/>
      <c r="C66" s="375" t="s">
        <v>413</v>
      </c>
      <c r="D66" s="432">
        <v>0</v>
      </c>
      <c r="E66" s="368">
        <v>0</v>
      </c>
      <c r="F66" s="433">
        <v>0</v>
      </c>
      <c r="G66" s="432">
        <v>0</v>
      </c>
      <c r="H66" s="390">
        <v>0</v>
      </c>
      <c r="I66" s="372"/>
    </row>
    <row r="67" spans="1:9" hidden="1" x14ac:dyDescent="0.2">
      <c r="A67" s="434" t="s">
        <v>414</v>
      </c>
      <c r="B67" s="442"/>
      <c r="C67" s="375" t="s">
        <v>415</v>
      </c>
      <c r="D67" s="432">
        <v>0</v>
      </c>
      <c r="E67" s="368">
        <v>0</v>
      </c>
      <c r="F67" s="433">
        <v>0</v>
      </c>
      <c r="G67" s="432">
        <v>0</v>
      </c>
      <c r="H67" s="390">
        <v>0</v>
      </c>
      <c r="I67" s="372"/>
    </row>
    <row r="68" spans="1:9" hidden="1" x14ac:dyDescent="0.2">
      <c r="A68" s="430" t="s">
        <v>416</v>
      </c>
      <c r="B68" s="442"/>
      <c r="C68" s="375" t="s">
        <v>417</v>
      </c>
      <c r="D68" s="432">
        <v>0</v>
      </c>
      <c r="E68" s="368">
        <v>0</v>
      </c>
      <c r="F68" s="433">
        <v>0</v>
      </c>
      <c r="G68" s="432">
        <v>0</v>
      </c>
      <c r="H68" s="390">
        <v>0</v>
      </c>
      <c r="I68" s="372"/>
    </row>
    <row r="69" spans="1:9" ht="15.75" thickBot="1" x14ac:dyDescent="0.3">
      <c r="A69" s="443" t="s">
        <v>127</v>
      </c>
      <c r="B69" s="444"/>
      <c r="C69" s="445"/>
      <c r="D69" s="446">
        <f>SUM(D60:D68)</f>
        <v>0</v>
      </c>
      <c r="E69" s="446">
        <f>SUM(E60:E68)</f>
        <v>0</v>
      </c>
      <c r="F69" s="447">
        <f>SUM(F60:F68)</f>
        <v>0</v>
      </c>
      <c r="G69" s="446">
        <f>SUM(G60:G68)</f>
        <v>0</v>
      </c>
      <c r="H69" s="448">
        <f>SUM(H60:H68)</f>
        <v>413829772</v>
      </c>
      <c r="I69" s="372"/>
    </row>
    <row r="70" spans="1:9" ht="15" x14ac:dyDescent="0.25">
      <c r="A70" s="449" t="s">
        <v>418</v>
      </c>
      <c r="B70" s="450"/>
      <c r="C70" s="451" t="s">
        <v>419</v>
      </c>
      <c r="D70" s="432"/>
      <c r="E70" s="432"/>
      <c r="F70" s="433"/>
      <c r="G70" s="432"/>
      <c r="H70" s="390"/>
      <c r="I70" s="372"/>
    </row>
    <row r="71" spans="1:9" hidden="1" x14ac:dyDescent="0.2">
      <c r="A71" s="430"/>
      <c r="B71" s="431" t="s">
        <v>420</v>
      </c>
      <c r="C71" s="375"/>
      <c r="D71" s="432">
        <v>0</v>
      </c>
      <c r="E71" s="432">
        <v>0</v>
      </c>
      <c r="F71" s="433">
        <v>0</v>
      </c>
      <c r="G71" s="432">
        <v>0</v>
      </c>
      <c r="H71" s="390"/>
      <c r="I71" s="372"/>
    </row>
    <row r="72" spans="1:9" x14ac:dyDescent="0.2">
      <c r="A72" s="434"/>
      <c r="B72" s="431" t="s">
        <v>304</v>
      </c>
      <c r="C72" s="375"/>
      <c r="D72" s="432">
        <v>0</v>
      </c>
      <c r="E72" s="432">
        <v>0</v>
      </c>
      <c r="F72" s="433"/>
      <c r="G72" s="432">
        <v>0</v>
      </c>
      <c r="H72" s="390">
        <f>274165862.03+136953+508821+41715928</f>
        <v>316527564.02999997</v>
      </c>
      <c r="I72" s="372"/>
    </row>
    <row r="73" spans="1:9" ht="15.75" thickBot="1" x14ac:dyDescent="0.3">
      <c r="A73" s="452" t="s">
        <v>129</v>
      </c>
      <c r="B73" s="453"/>
      <c r="C73" s="454"/>
      <c r="D73" s="455">
        <f>SUM(D71:D72)</f>
        <v>0</v>
      </c>
      <c r="E73" s="455">
        <f>SUM(E71:E72)</f>
        <v>0</v>
      </c>
      <c r="F73" s="447">
        <f t="shared" ref="F73:G73" si="1">SUM(F71:F72)</f>
        <v>0</v>
      </c>
      <c r="G73" s="446">
        <f t="shared" si="1"/>
        <v>0</v>
      </c>
      <c r="H73" s="448">
        <f>SUM(H71:H72)</f>
        <v>316527564.02999997</v>
      </c>
      <c r="I73" s="372"/>
    </row>
    <row r="74" spans="1:9" x14ac:dyDescent="0.2">
      <c r="A74" s="434"/>
      <c r="B74" s="431" t="s">
        <v>421</v>
      </c>
      <c r="C74" s="375"/>
      <c r="D74" s="432"/>
      <c r="E74" s="432"/>
      <c r="F74" s="456"/>
      <c r="G74" s="432"/>
      <c r="H74" s="390">
        <v>0</v>
      </c>
      <c r="I74" s="372"/>
    </row>
    <row r="75" spans="1:9" x14ac:dyDescent="0.2">
      <c r="A75" s="430"/>
      <c r="B75" s="431" t="s">
        <v>422</v>
      </c>
      <c r="C75" s="375"/>
      <c r="D75" s="432"/>
      <c r="E75" s="432"/>
      <c r="F75" s="433"/>
      <c r="G75" s="432"/>
      <c r="H75" s="390">
        <f>'[16]PCFP-All Expense AA-1 Modified'!J146</f>
        <v>-93666373</v>
      </c>
      <c r="I75" s="372"/>
    </row>
    <row r="76" spans="1:9" ht="15.75" thickBot="1" x14ac:dyDescent="0.3">
      <c r="A76" s="417" t="s">
        <v>423</v>
      </c>
      <c r="B76" s="457"/>
      <c r="C76" s="413"/>
      <c r="D76" s="414">
        <f>'PCFP - All Revenue AA-1 R-16'!D33+'PCFP - All Revenue AA-1 R-16'!D49+'PCFP - All Revenue AA-1 R-16'!D59+'PCFP - All Revenue AA-1 R-16'!D73+'PCFP - All Revenue AA-1 R-16'!D69</f>
        <v>0</v>
      </c>
      <c r="E76" s="414">
        <f>'PCFP - All Revenue AA-1 R-16'!E33+'PCFP - All Revenue AA-1 R-16'!E49+'PCFP - All Revenue AA-1 R-16'!E59+'PCFP - All Revenue AA-1 R-16'!E73+'PCFP - All Revenue AA-1 R-16'!E69</f>
        <v>0</v>
      </c>
      <c r="F76" s="415">
        <f>'PCFP - All Revenue AA-1 R-16'!F33+'PCFP - All Revenue AA-1 R-16'!F49+'PCFP - All Revenue AA-1 R-16'!F59+'PCFP - All Revenue AA-1 R-16'!F73+'PCFP - All Revenue AA-1 R-16'!F69</f>
        <v>550497728.43716097</v>
      </c>
      <c r="G76" s="414">
        <f>'PCFP - All Revenue AA-1 R-16'!G33+'PCFP - All Revenue AA-1 R-16'!G49+'PCFP - All Revenue AA-1 R-16'!G59+'PCFP - All Revenue AA-1 R-16'!G73+'PCFP - All Revenue AA-1 R-16'!G69</f>
        <v>0</v>
      </c>
      <c r="H76" s="458">
        <f>'PCFP - All Revenue AA-1 R-16'!H33+'PCFP - All Revenue AA-1 R-16'!H49+'PCFP - All Revenue AA-1 R-16'!H59+'PCFP - All Revenue AA-1 R-16'!H73+'PCFP - All Revenue AA-1 R-16'!H69+H74+H75</f>
        <v>992855822.02999997</v>
      </c>
      <c r="I76" s="372"/>
    </row>
    <row r="77" spans="1:9" ht="15.75" hidden="1" thickTop="1" x14ac:dyDescent="0.25">
      <c r="A77" s="417"/>
      <c r="B77" s="431"/>
      <c r="C77" s="459"/>
      <c r="D77" s="459"/>
      <c r="E77" s="459"/>
      <c r="F77" s="459"/>
      <c r="G77" s="459"/>
      <c r="H77" s="461"/>
      <c r="I77" s="372"/>
    </row>
    <row r="78" spans="1:9" ht="15.75" thickTop="1" x14ac:dyDescent="0.25">
      <c r="A78" s="417" t="s">
        <v>574</v>
      </c>
      <c r="B78" s="462"/>
      <c r="C78" s="380"/>
      <c r="D78" s="370"/>
      <c r="E78" s="370"/>
      <c r="F78" s="369"/>
      <c r="G78" s="370"/>
      <c r="H78" s="371"/>
      <c r="I78" s="372"/>
    </row>
    <row r="79" spans="1:9" ht="15" x14ac:dyDescent="0.25">
      <c r="A79" s="463"/>
      <c r="B79" s="464" t="s">
        <v>10</v>
      </c>
      <c r="C79" s="465" t="s">
        <v>424</v>
      </c>
      <c r="D79" s="432"/>
      <c r="E79" s="441"/>
      <c r="F79" s="433"/>
      <c r="G79" s="432"/>
      <c r="H79" s="390">
        <v>0</v>
      </c>
      <c r="I79" s="372"/>
    </row>
    <row r="80" spans="1:9" ht="15" x14ac:dyDescent="0.25">
      <c r="A80" s="463"/>
      <c r="B80" s="466" t="s">
        <v>10</v>
      </c>
      <c r="C80" s="465" t="s">
        <v>425</v>
      </c>
      <c r="D80" s="432"/>
      <c r="E80" s="368"/>
      <c r="F80" s="433"/>
      <c r="G80" s="432"/>
      <c r="H80" s="390">
        <v>0</v>
      </c>
      <c r="I80" s="372"/>
    </row>
    <row r="81" spans="1:9" ht="15" x14ac:dyDescent="0.25">
      <c r="A81" s="463"/>
      <c r="B81" s="466" t="s">
        <v>10</v>
      </c>
      <c r="C81" s="465" t="s">
        <v>426</v>
      </c>
      <c r="D81" s="432"/>
      <c r="E81" s="368"/>
      <c r="F81" s="433"/>
      <c r="G81" s="432"/>
      <c r="H81" s="390">
        <v>0</v>
      </c>
      <c r="I81" s="372"/>
    </row>
    <row r="82" spans="1:9" ht="15.75" thickBot="1" x14ac:dyDescent="0.3">
      <c r="A82" s="467"/>
      <c r="B82" s="468" t="s">
        <v>10</v>
      </c>
      <c r="C82" s="469" t="s">
        <v>427</v>
      </c>
      <c r="D82" s="446"/>
      <c r="E82" s="455"/>
      <c r="F82" s="447"/>
      <c r="G82" s="446"/>
      <c r="H82" s="470">
        <v>0</v>
      </c>
      <c r="I82" s="372"/>
    </row>
    <row r="83" spans="1:9" ht="15" x14ac:dyDescent="0.25">
      <c r="A83" s="471"/>
      <c r="B83" s="472"/>
      <c r="C83" s="473"/>
      <c r="D83" s="474">
        <f>SUM(D79:D82)</f>
        <v>0</v>
      </c>
      <c r="E83" s="474">
        <f t="shared" ref="E83:G83" si="2">SUM(E79:E82)</f>
        <v>0</v>
      </c>
      <c r="F83" s="474">
        <f t="shared" si="2"/>
        <v>0</v>
      </c>
      <c r="G83" s="474">
        <f t="shared" si="2"/>
        <v>0</v>
      </c>
      <c r="H83" s="474">
        <f>SUM(H79:H82)</f>
        <v>0</v>
      </c>
    </row>
    <row r="84" spans="1:9" x14ac:dyDescent="0.2">
      <c r="A84" s="475"/>
      <c r="B84" s="475"/>
      <c r="C84" s="476"/>
      <c r="D84" s="476"/>
      <c r="E84" s="476"/>
      <c r="F84" s="476"/>
      <c r="G84" s="476"/>
      <c r="H84" s="476"/>
    </row>
    <row r="85" spans="1:9" x14ac:dyDescent="0.2">
      <c r="A85" s="374"/>
      <c r="B85" s="374"/>
      <c r="C85" s="477" t="str">
        <f>C1</f>
        <v>Washoe County School District</v>
      </c>
      <c r="D85" s="476" t="s">
        <v>428</v>
      </c>
      <c r="E85" s="476"/>
      <c r="F85" s="476"/>
      <c r="G85" s="478" t="str">
        <f>"Budget Fiscal Year "&amp;TEXT('[16]Form 1'!$C$136, "mm/dd/yy")</f>
        <v>Budget Fiscal Year 2019-2020</v>
      </c>
      <c r="H85" s="478"/>
    </row>
    <row r="86" spans="1:9" x14ac:dyDescent="0.2">
      <c r="A86" s="378"/>
      <c r="B86" s="378"/>
      <c r="C86" s="479" t="s">
        <v>429</v>
      </c>
      <c r="D86" s="475" t="s">
        <v>430</v>
      </c>
      <c r="E86" s="476"/>
      <c r="F86" s="480"/>
      <c r="G86" s="478" t="s">
        <v>431</v>
      </c>
      <c r="H86" s="478"/>
    </row>
    <row r="87" spans="1:9" x14ac:dyDescent="0.2">
      <c r="A87" s="475"/>
      <c r="B87" s="475"/>
      <c r="C87" s="476"/>
      <c r="D87" s="476"/>
      <c r="E87" s="476"/>
    </row>
    <row r="88" spans="1:9" x14ac:dyDescent="0.2">
      <c r="A88" s="475"/>
      <c r="B88" s="475"/>
      <c r="C88" s="476"/>
      <c r="D88" s="476"/>
      <c r="E88" s="476"/>
      <c r="G88" s="560" t="s">
        <v>785</v>
      </c>
      <c r="H88" s="311">
        <f>H76+F76</f>
        <v>1543353550.4671609</v>
      </c>
    </row>
    <row r="89" spans="1:9" ht="16.5" x14ac:dyDescent="0.35">
      <c r="A89" s="475"/>
      <c r="B89" s="475"/>
      <c r="C89" s="476"/>
      <c r="D89" s="476"/>
      <c r="E89" s="476"/>
      <c r="G89" s="560" t="s">
        <v>786</v>
      </c>
      <c r="H89" s="561">
        <v>1552877464.03</v>
      </c>
    </row>
    <row r="90" spans="1:9" x14ac:dyDescent="0.2">
      <c r="G90" s="560" t="s">
        <v>787</v>
      </c>
      <c r="H90" s="562">
        <f>H88-H89</f>
        <v>-9523913.5628390312</v>
      </c>
    </row>
    <row r="92" spans="1:9" x14ac:dyDescent="0.2">
      <c r="G92" s="560"/>
      <c r="H92" s="311"/>
    </row>
    <row r="93" spans="1:9" x14ac:dyDescent="0.2">
      <c r="G93" s="560" t="s">
        <v>786</v>
      </c>
      <c r="H93" s="311">
        <f>H89</f>
        <v>1552877464.03</v>
      </c>
    </row>
    <row r="94" spans="1:9" x14ac:dyDescent="0.2">
      <c r="G94" s="560" t="s">
        <v>788</v>
      </c>
      <c r="H94" s="311"/>
    </row>
    <row r="95" spans="1:9" x14ac:dyDescent="0.2">
      <c r="G95" s="560" t="s">
        <v>789</v>
      </c>
      <c r="H95" s="311">
        <v>-116970855</v>
      </c>
    </row>
    <row r="96" spans="1:9" x14ac:dyDescent="0.2">
      <c r="G96" s="560" t="s">
        <v>790</v>
      </c>
      <c r="H96" s="311">
        <v>-218447651</v>
      </c>
    </row>
    <row r="97" spans="7:8" x14ac:dyDescent="0.2">
      <c r="G97" s="560" t="s">
        <v>791</v>
      </c>
      <c r="H97" s="311">
        <v>-250000</v>
      </c>
    </row>
    <row r="98" spans="7:8" x14ac:dyDescent="0.2">
      <c r="G98" s="560" t="s">
        <v>792</v>
      </c>
      <c r="H98" s="311">
        <v>-21315759</v>
      </c>
    </row>
    <row r="99" spans="7:8" x14ac:dyDescent="0.2">
      <c r="G99" s="560" t="s">
        <v>793</v>
      </c>
      <c r="H99" s="311">
        <v>-118886611</v>
      </c>
    </row>
    <row r="100" spans="7:8" x14ac:dyDescent="0.2">
      <c r="G100" s="560" t="s">
        <v>794</v>
      </c>
      <c r="H100" s="311">
        <v>-5064335</v>
      </c>
    </row>
    <row r="101" spans="7:8" x14ac:dyDescent="0.2">
      <c r="G101" s="560" t="s">
        <v>795</v>
      </c>
      <c r="H101" s="311">
        <v>-19067925</v>
      </c>
    </row>
    <row r="102" spans="7:8" x14ac:dyDescent="0.2">
      <c r="G102" s="560" t="s">
        <v>796</v>
      </c>
      <c r="H102" s="311">
        <v>-32581658</v>
      </c>
    </row>
    <row r="103" spans="7:8" ht="16.5" x14ac:dyDescent="0.35">
      <c r="G103" s="560" t="s">
        <v>797</v>
      </c>
      <c r="H103" s="561">
        <v>-27436847.539999999</v>
      </c>
    </row>
    <row r="104" spans="7:8" x14ac:dyDescent="0.2">
      <c r="G104" s="560"/>
      <c r="H104" s="311">
        <f>SUM(H93:H103)</f>
        <v>992855822.49000001</v>
      </c>
    </row>
    <row r="105" spans="7:8" x14ac:dyDescent="0.2">
      <c r="G105" s="560"/>
      <c r="H105" s="311"/>
    </row>
    <row r="106" spans="7:8" x14ac:dyDescent="0.2">
      <c r="G106" s="560" t="s">
        <v>798</v>
      </c>
      <c r="H106" s="311">
        <f>F76</f>
        <v>550497728.43716097</v>
      </c>
    </row>
    <row r="107" spans="7:8" ht="16.5" x14ac:dyDescent="0.35">
      <c r="G107" s="560" t="s">
        <v>785</v>
      </c>
      <c r="H107" s="561">
        <f>H104+H106</f>
        <v>1543353550.927161</v>
      </c>
    </row>
    <row r="108" spans="7:8" x14ac:dyDescent="0.2">
      <c r="G108" s="560" t="s">
        <v>132</v>
      </c>
      <c r="H108" s="311">
        <f>H107-H88</f>
        <v>0.46000003814697266</v>
      </c>
    </row>
    <row r="109" spans="7:8" x14ac:dyDescent="0.2">
      <c r="G109" s="560"/>
      <c r="H109" s="311"/>
    </row>
    <row r="110" spans="7:8" x14ac:dyDescent="0.2">
      <c r="G110" s="560"/>
      <c r="H110" s="311"/>
    </row>
    <row r="111" spans="7:8" x14ac:dyDescent="0.2">
      <c r="G111" s="560"/>
      <c r="H111" s="311"/>
    </row>
    <row r="112" spans="7:8" x14ac:dyDescent="0.2">
      <c r="H112" s="311"/>
    </row>
    <row r="113" spans="8:8" x14ac:dyDescent="0.2">
      <c r="H113" s="311"/>
    </row>
    <row r="114" spans="8:8" x14ac:dyDescent="0.2">
      <c r="H114" s="311"/>
    </row>
  </sheetData>
  <pageMargins left="0.2" right="0.2" top="0.25" bottom="0.25" header="0.05" footer="0.05"/>
  <pageSetup paperSize="5" scale="54" fitToHeight="2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065D5-DF8C-4C0E-87AA-0459351E1530}">
  <sheetPr>
    <tabColor rgb="FFFFFF00"/>
    <pageSetUpPr fitToPage="1"/>
  </sheetPr>
  <dimension ref="A1:L155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1" width="7.140625" style="632" customWidth="1"/>
    <col min="2" max="2" width="46.7109375" style="340" customWidth="1"/>
    <col min="3" max="3" width="15.85546875" style="631" customWidth="1"/>
    <col min="4" max="4" width="14.28515625" style="631" bestFit="1" customWidth="1"/>
    <col min="5" max="5" width="16.7109375" style="631" bestFit="1" customWidth="1"/>
    <col min="6" max="6" width="14.140625" style="631" bestFit="1" customWidth="1"/>
    <col min="7" max="7" width="17.42578125" style="631" bestFit="1" customWidth="1"/>
    <col min="8" max="8" width="16.140625" style="631" bestFit="1" customWidth="1"/>
    <col min="9" max="9" width="19.5703125" style="631" bestFit="1" customWidth="1"/>
    <col min="10" max="10" width="17.7109375" style="631" customWidth="1"/>
    <col min="11" max="11" width="18.140625" style="340" customWidth="1"/>
    <col min="12" max="13" width="9.140625" style="340"/>
    <col min="14" max="14" width="5.42578125" style="340" customWidth="1"/>
    <col min="15" max="16384" width="9.140625" style="340"/>
  </cols>
  <sheetData>
    <row r="1" spans="1:11" s="569" customFormat="1" ht="62.25" customHeight="1" thickBot="1" x14ac:dyDescent="0.3">
      <c r="A1" s="563"/>
      <c r="B1" s="564" t="s">
        <v>432</v>
      </c>
      <c r="C1" s="565" t="s">
        <v>433</v>
      </c>
      <c r="D1" s="565" t="s">
        <v>434</v>
      </c>
      <c r="E1" s="565" t="s">
        <v>435</v>
      </c>
      <c r="F1" s="565" t="s">
        <v>436</v>
      </c>
      <c r="G1" s="565" t="s">
        <v>437</v>
      </c>
      <c r="H1" s="565" t="s">
        <v>438</v>
      </c>
      <c r="I1" s="566" t="s">
        <v>799</v>
      </c>
      <c r="J1" s="567" t="s">
        <v>440</v>
      </c>
      <c r="K1" s="568" t="s">
        <v>325</v>
      </c>
    </row>
    <row r="2" spans="1:11" ht="18.75" customHeight="1" x14ac:dyDescent="0.25">
      <c r="A2" s="570" t="s">
        <v>442</v>
      </c>
      <c r="B2" s="571"/>
      <c r="C2" s="572"/>
      <c r="D2" s="572"/>
      <c r="E2" s="572"/>
      <c r="F2" s="572"/>
      <c r="G2" s="572"/>
      <c r="H2" s="572"/>
      <c r="I2" s="573"/>
      <c r="J2" s="574"/>
      <c r="K2" s="429"/>
    </row>
    <row r="3" spans="1:11" x14ac:dyDescent="0.2">
      <c r="A3" s="391">
        <v>100</v>
      </c>
      <c r="B3" s="375" t="s">
        <v>134</v>
      </c>
      <c r="C3" s="369">
        <f>212418626-D3</f>
        <v>145661408</v>
      </c>
      <c r="D3" s="369">
        <v>66757218</v>
      </c>
      <c r="E3" s="369">
        <f>225904694-SUM(C3:D3)</f>
        <v>13486068</v>
      </c>
      <c r="F3" s="369">
        <v>0</v>
      </c>
      <c r="G3" s="369">
        <v>0</v>
      </c>
      <c r="H3" s="369">
        <v>0</v>
      </c>
      <c r="I3" s="575">
        <v>0</v>
      </c>
      <c r="J3" s="369">
        <f>SUM(C3:I3)</f>
        <v>225904694</v>
      </c>
      <c r="K3" s="372"/>
    </row>
    <row r="4" spans="1:11" hidden="1" x14ac:dyDescent="0.2">
      <c r="A4" s="391">
        <v>200</v>
      </c>
      <c r="B4" s="375" t="s">
        <v>135</v>
      </c>
      <c r="C4" s="369">
        <v>0</v>
      </c>
      <c r="D4" s="369">
        <v>0</v>
      </c>
      <c r="E4" s="369">
        <v>0</v>
      </c>
      <c r="F4" s="369">
        <v>0</v>
      </c>
      <c r="G4" s="369">
        <v>0</v>
      </c>
      <c r="H4" s="369">
        <v>0</v>
      </c>
      <c r="I4" s="575">
        <v>0</v>
      </c>
      <c r="J4" s="369">
        <f t="shared" ref="J4:J67" si="0">SUM(C4:I4)</f>
        <v>0</v>
      </c>
      <c r="K4" s="372"/>
    </row>
    <row r="5" spans="1:11" hidden="1" x14ac:dyDescent="0.2">
      <c r="A5" s="576" t="s">
        <v>10</v>
      </c>
      <c r="B5" s="577" t="s">
        <v>136</v>
      </c>
      <c r="C5" s="369">
        <v>0</v>
      </c>
      <c r="D5" s="369">
        <v>0</v>
      </c>
      <c r="E5" s="369">
        <v>0</v>
      </c>
      <c r="F5" s="369">
        <v>0</v>
      </c>
      <c r="G5" s="369">
        <v>0</v>
      </c>
      <c r="H5" s="369">
        <v>0</v>
      </c>
      <c r="I5" s="575">
        <v>0</v>
      </c>
      <c r="J5" s="369">
        <f t="shared" si="0"/>
        <v>0</v>
      </c>
      <c r="K5" s="212"/>
    </row>
    <row r="6" spans="1:11" x14ac:dyDescent="0.2">
      <c r="A6" s="391">
        <v>270</v>
      </c>
      <c r="B6" s="375" t="s">
        <v>137</v>
      </c>
      <c r="C6" s="369">
        <f>4019925+704251-D6</f>
        <v>3248050</v>
      </c>
      <c r="D6" s="369">
        <f>1263636+212490</f>
        <v>1476126</v>
      </c>
      <c r="E6" s="369">
        <f>4153001+804984-SUM(C6:D6)</f>
        <v>233809</v>
      </c>
      <c r="F6" s="369">
        <v>0</v>
      </c>
      <c r="G6" s="369">
        <v>0</v>
      </c>
      <c r="H6" s="369">
        <v>0</v>
      </c>
      <c r="I6" s="575">
        <v>0</v>
      </c>
      <c r="J6" s="369">
        <f t="shared" si="0"/>
        <v>4957985</v>
      </c>
      <c r="K6" s="372"/>
    </row>
    <row r="7" spans="1:11" hidden="1" x14ac:dyDescent="0.2">
      <c r="A7" s="576" t="s">
        <v>10</v>
      </c>
      <c r="B7" s="577" t="s">
        <v>138</v>
      </c>
      <c r="C7" s="369">
        <v>0</v>
      </c>
      <c r="D7" s="369">
        <v>0</v>
      </c>
      <c r="E7" s="369">
        <v>0</v>
      </c>
      <c r="F7" s="369">
        <v>0</v>
      </c>
      <c r="G7" s="369">
        <v>0</v>
      </c>
      <c r="H7" s="369">
        <v>0</v>
      </c>
      <c r="I7" s="575">
        <v>0</v>
      </c>
      <c r="J7" s="369">
        <f t="shared" si="0"/>
        <v>0</v>
      </c>
      <c r="K7" s="212"/>
    </row>
    <row r="8" spans="1:11" x14ac:dyDescent="0.2">
      <c r="A8" s="391">
        <v>300</v>
      </c>
      <c r="B8" s="375" t="s">
        <v>139</v>
      </c>
      <c r="C8" s="369">
        <f>5346224+286751-D8</f>
        <v>3842868</v>
      </c>
      <c r="D8" s="369">
        <f>1700516+89591</f>
        <v>1790107</v>
      </c>
      <c r="E8" s="369">
        <f>5530064+293510-SUM(C8:D8)</f>
        <v>190599</v>
      </c>
      <c r="F8" s="369">
        <v>0</v>
      </c>
      <c r="G8" s="369">
        <v>0</v>
      </c>
      <c r="H8" s="369">
        <v>0</v>
      </c>
      <c r="I8" s="575">
        <v>0</v>
      </c>
      <c r="J8" s="369">
        <f t="shared" si="0"/>
        <v>5823574</v>
      </c>
      <c r="K8" s="372"/>
    </row>
    <row r="9" spans="1:11" hidden="1" x14ac:dyDescent="0.2">
      <c r="A9" s="391">
        <v>400</v>
      </c>
      <c r="B9" s="375" t="s">
        <v>140</v>
      </c>
      <c r="C9" s="369">
        <v>0</v>
      </c>
      <c r="D9" s="369">
        <v>0</v>
      </c>
      <c r="E9" s="369">
        <v>0</v>
      </c>
      <c r="F9" s="369">
        <v>0</v>
      </c>
      <c r="G9" s="369">
        <v>0</v>
      </c>
      <c r="H9" s="369">
        <v>0</v>
      </c>
      <c r="I9" s="575">
        <v>0</v>
      </c>
      <c r="J9" s="369">
        <f t="shared" si="0"/>
        <v>0</v>
      </c>
      <c r="K9" s="372"/>
    </row>
    <row r="10" spans="1:11" x14ac:dyDescent="0.2">
      <c r="A10" s="576" t="s">
        <v>10</v>
      </c>
      <c r="B10" s="577" t="s">
        <v>141</v>
      </c>
      <c r="C10" s="369">
        <f>10286098+2188057-D10</f>
        <v>8615756</v>
      </c>
      <c r="D10" s="369">
        <f>3182559+675840</f>
        <v>3858399</v>
      </c>
      <c r="E10" s="369">
        <f>10295138+2562466-SUM(C10:D10)</f>
        <v>383449</v>
      </c>
      <c r="F10" s="369">
        <v>0</v>
      </c>
      <c r="G10" s="369">
        <v>0</v>
      </c>
      <c r="H10" s="369">
        <v>0</v>
      </c>
      <c r="I10" s="575">
        <v>0</v>
      </c>
      <c r="J10" s="369">
        <f t="shared" si="0"/>
        <v>12857604</v>
      </c>
      <c r="K10" s="212"/>
    </row>
    <row r="11" spans="1:11" hidden="1" x14ac:dyDescent="0.2">
      <c r="A11" s="576" t="s">
        <v>10</v>
      </c>
      <c r="B11" s="577" t="s">
        <v>142</v>
      </c>
      <c r="C11" s="369">
        <v>0</v>
      </c>
      <c r="D11" s="369">
        <v>0</v>
      </c>
      <c r="E11" s="369">
        <v>0</v>
      </c>
      <c r="F11" s="369">
        <v>0</v>
      </c>
      <c r="G11" s="369">
        <v>0</v>
      </c>
      <c r="H11" s="369">
        <v>0</v>
      </c>
      <c r="I11" s="575">
        <v>0</v>
      </c>
      <c r="J11" s="369">
        <f t="shared" si="0"/>
        <v>0</v>
      </c>
      <c r="K11" s="212"/>
    </row>
    <row r="12" spans="1:11" x14ac:dyDescent="0.2">
      <c r="A12" s="391">
        <v>440</v>
      </c>
      <c r="B12" s="375" t="s">
        <v>143</v>
      </c>
      <c r="C12" s="369">
        <v>248120</v>
      </c>
      <c r="D12" s="369">
        <v>19702</v>
      </c>
      <c r="E12" s="369">
        <f>248120+485723-SUM(C12:D12)</f>
        <v>466021</v>
      </c>
      <c r="F12" s="369">
        <v>0</v>
      </c>
      <c r="G12" s="369">
        <v>0</v>
      </c>
      <c r="H12" s="369">
        <v>0</v>
      </c>
      <c r="I12" s="575">
        <v>0</v>
      </c>
      <c r="J12" s="369">
        <f t="shared" si="0"/>
        <v>733843</v>
      </c>
      <c r="K12" s="372"/>
    </row>
    <row r="13" spans="1:11" hidden="1" x14ac:dyDescent="0.2">
      <c r="A13" s="391">
        <v>500</v>
      </c>
      <c r="B13" s="375" t="s">
        <v>144</v>
      </c>
      <c r="C13" s="369">
        <v>0</v>
      </c>
      <c r="D13" s="369">
        <v>0</v>
      </c>
      <c r="E13" s="369">
        <v>0</v>
      </c>
      <c r="F13" s="369">
        <v>0</v>
      </c>
      <c r="G13" s="369">
        <v>0</v>
      </c>
      <c r="H13" s="369">
        <v>0</v>
      </c>
      <c r="I13" s="575">
        <v>0</v>
      </c>
      <c r="J13" s="369">
        <f t="shared" si="0"/>
        <v>0</v>
      </c>
      <c r="K13" s="372"/>
    </row>
    <row r="14" spans="1:11" hidden="1" x14ac:dyDescent="0.2">
      <c r="A14" s="391">
        <v>600</v>
      </c>
      <c r="B14" s="375" t="s">
        <v>145</v>
      </c>
      <c r="C14" s="369">
        <v>0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575">
        <v>0</v>
      </c>
      <c r="J14" s="369">
        <f t="shared" si="0"/>
        <v>0</v>
      </c>
      <c r="K14" s="372"/>
    </row>
    <row r="15" spans="1:11" hidden="1" x14ac:dyDescent="0.2">
      <c r="A15" s="391">
        <v>800</v>
      </c>
      <c r="B15" s="375" t="s">
        <v>146</v>
      </c>
      <c r="C15" s="369">
        <v>0</v>
      </c>
      <c r="D15" s="369">
        <v>0</v>
      </c>
      <c r="E15" s="369">
        <v>0</v>
      </c>
      <c r="F15" s="369">
        <v>0</v>
      </c>
      <c r="G15" s="369">
        <v>0</v>
      </c>
      <c r="H15" s="369">
        <v>0</v>
      </c>
      <c r="I15" s="575">
        <v>0</v>
      </c>
      <c r="J15" s="369">
        <f t="shared" si="0"/>
        <v>0</v>
      </c>
      <c r="K15" s="372"/>
    </row>
    <row r="16" spans="1:11" x14ac:dyDescent="0.2">
      <c r="A16" s="391">
        <v>910</v>
      </c>
      <c r="B16" s="375" t="s">
        <v>147</v>
      </c>
      <c r="C16" s="369">
        <f>983054+219589-D16</f>
        <v>1102853</v>
      </c>
      <c r="D16" s="369">
        <f>39126+60664</f>
        <v>99790</v>
      </c>
      <c r="E16" s="369">
        <v>0</v>
      </c>
      <c r="F16" s="369">
        <v>0</v>
      </c>
      <c r="G16" s="369">
        <v>0</v>
      </c>
      <c r="H16" s="369">
        <v>0</v>
      </c>
      <c r="I16" s="575">
        <v>0</v>
      </c>
      <c r="J16" s="369">
        <f t="shared" si="0"/>
        <v>1202643</v>
      </c>
      <c r="K16" s="372"/>
    </row>
    <row r="17" spans="1:11" x14ac:dyDescent="0.2">
      <c r="A17" s="391">
        <v>920</v>
      </c>
      <c r="B17" s="375" t="s">
        <v>148</v>
      </c>
      <c r="C17" s="369">
        <f>1733549+603169-D17</f>
        <v>1853303</v>
      </c>
      <c r="D17" s="369">
        <f>287645+195770</f>
        <v>483415</v>
      </c>
      <c r="E17" s="369">
        <f>1733549+600001+984643-SUM(C17:D17)</f>
        <v>981475</v>
      </c>
      <c r="F17" s="369">
        <v>0</v>
      </c>
      <c r="G17" s="369">
        <v>0</v>
      </c>
      <c r="H17" s="369">
        <v>0</v>
      </c>
      <c r="I17" s="575">
        <v>0</v>
      </c>
      <c r="J17" s="369">
        <f t="shared" si="0"/>
        <v>3318193</v>
      </c>
      <c r="K17" s="372"/>
    </row>
    <row r="18" spans="1:11" ht="2.25" customHeight="1" x14ac:dyDescent="0.2">
      <c r="A18" s="391"/>
      <c r="B18" s="375"/>
      <c r="C18" s="369"/>
      <c r="D18" s="369"/>
      <c r="E18" s="369"/>
      <c r="F18" s="369"/>
      <c r="G18" s="369"/>
      <c r="H18" s="369"/>
      <c r="I18" s="575"/>
      <c r="J18" s="369">
        <f t="shared" si="0"/>
        <v>0</v>
      </c>
      <c r="K18" s="372"/>
    </row>
    <row r="19" spans="1:11" ht="15" x14ac:dyDescent="0.25">
      <c r="A19" s="578" t="s">
        <v>149</v>
      </c>
      <c r="B19" s="424" t="s">
        <v>150</v>
      </c>
      <c r="C19" s="369"/>
      <c r="D19" s="369"/>
      <c r="E19" s="369"/>
      <c r="F19" s="369"/>
      <c r="G19" s="369"/>
      <c r="H19" s="369"/>
      <c r="I19" s="575"/>
      <c r="J19" s="369"/>
      <c r="K19" s="372"/>
    </row>
    <row r="20" spans="1:11" ht="15" x14ac:dyDescent="0.25">
      <c r="A20" s="578" t="s">
        <v>443</v>
      </c>
      <c r="B20" s="424" t="s">
        <v>444</v>
      </c>
      <c r="C20" s="369">
        <v>0</v>
      </c>
      <c r="D20" s="369">
        <v>0</v>
      </c>
      <c r="E20" s="369">
        <v>0</v>
      </c>
      <c r="F20" s="369">
        <v>0</v>
      </c>
      <c r="G20" s="369">
        <v>0</v>
      </c>
      <c r="H20" s="369">
        <v>0</v>
      </c>
      <c r="I20" s="575">
        <v>0</v>
      </c>
      <c r="J20" s="369">
        <f t="shared" si="0"/>
        <v>0</v>
      </c>
      <c r="K20" s="372"/>
    </row>
    <row r="21" spans="1:11" x14ac:dyDescent="0.2">
      <c r="A21" s="391">
        <v>2100</v>
      </c>
      <c r="B21" s="375" t="s">
        <v>151</v>
      </c>
      <c r="C21" s="369">
        <f>33921042-D21</f>
        <v>23459122</v>
      </c>
      <c r="D21" s="369">
        <v>10461920</v>
      </c>
      <c r="E21" s="369">
        <f>34627224-SUM(C21:D21)</f>
        <v>706182</v>
      </c>
      <c r="F21" s="369">
        <v>0</v>
      </c>
      <c r="G21" s="369">
        <v>0</v>
      </c>
      <c r="H21" s="369">
        <v>0</v>
      </c>
      <c r="I21" s="575">
        <v>0</v>
      </c>
      <c r="J21" s="369">
        <f t="shared" si="0"/>
        <v>34627224</v>
      </c>
      <c r="K21" s="372"/>
    </row>
    <row r="22" spans="1:11" x14ac:dyDescent="0.2">
      <c r="A22" s="391">
        <v>2200</v>
      </c>
      <c r="B22" s="375" t="s">
        <v>152</v>
      </c>
      <c r="C22" s="369">
        <f>13057066-D22</f>
        <v>9176174</v>
      </c>
      <c r="D22" s="369">
        <v>3880892</v>
      </c>
      <c r="E22" s="369">
        <f>15730670-SUM(C22:D22)</f>
        <v>2673604</v>
      </c>
      <c r="F22" s="369">
        <v>0</v>
      </c>
      <c r="G22" s="369">
        <v>0</v>
      </c>
      <c r="H22" s="369">
        <v>0</v>
      </c>
      <c r="I22" s="575">
        <v>0</v>
      </c>
      <c r="J22" s="369">
        <f t="shared" si="0"/>
        <v>15730670</v>
      </c>
      <c r="K22" s="372"/>
    </row>
    <row r="23" spans="1:11" x14ac:dyDescent="0.2">
      <c r="A23" s="391">
        <v>2300</v>
      </c>
      <c r="B23" s="375" t="s">
        <v>153</v>
      </c>
      <c r="C23" s="369">
        <f>5360465-D23</f>
        <v>3776019</v>
      </c>
      <c r="D23" s="369">
        <v>1584446</v>
      </c>
      <c r="E23" s="369">
        <f>6370038-SUM(C23:D23)</f>
        <v>1009573</v>
      </c>
      <c r="F23" s="369">
        <v>0</v>
      </c>
      <c r="G23" s="369">
        <v>0</v>
      </c>
      <c r="H23" s="369">
        <v>0</v>
      </c>
      <c r="I23" s="575">
        <v>0</v>
      </c>
      <c r="J23" s="369">
        <f t="shared" si="0"/>
        <v>6370038</v>
      </c>
      <c r="K23" s="372"/>
    </row>
    <row r="24" spans="1:11" x14ac:dyDescent="0.2">
      <c r="A24" s="391">
        <v>2400</v>
      </c>
      <c r="B24" s="375" t="s">
        <v>154</v>
      </c>
      <c r="C24" s="369">
        <f>39504778-D24</f>
        <v>28360221</v>
      </c>
      <c r="D24" s="369">
        <v>11144557</v>
      </c>
      <c r="E24" s="369">
        <f>39718911-SUM(C24:D24)</f>
        <v>214133</v>
      </c>
      <c r="F24" s="369">
        <v>0</v>
      </c>
      <c r="G24" s="369">
        <v>0</v>
      </c>
      <c r="H24" s="369">
        <v>0</v>
      </c>
      <c r="I24" s="575">
        <v>0</v>
      </c>
      <c r="J24" s="369">
        <f t="shared" si="0"/>
        <v>39718911</v>
      </c>
      <c r="K24" s="372"/>
    </row>
    <row r="25" spans="1:11" x14ac:dyDescent="0.2">
      <c r="A25" s="391">
        <v>2500</v>
      </c>
      <c r="B25" s="375" t="s">
        <v>155</v>
      </c>
      <c r="C25" s="369">
        <f>18250868-D25</f>
        <v>13039810</v>
      </c>
      <c r="D25" s="369">
        <v>5211058</v>
      </c>
      <c r="E25" s="369">
        <f>25376142-SUM(C25:D25)</f>
        <v>7125274</v>
      </c>
      <c r="F25" s="369">
        <v>0</v>
      </c>
      <c r="G25" s="369">
        <v>0</v>
      </c>
      <c r="H25" s="369">
        <v>0</v>
      </c>
      <c r="I25" s="575">
        <v>0</v>
      </c>
      <c r="J25" s="369">
        <f t="shared" si="0"/>
        <v>25376142</v>
      </c>
      <c r="K25" s="372"/>
    </row>
    <row r="26" spans="1:11" x14ac:dyDescent="0.2">
      <c r="A26" s="391">
        <v>2600</v>
      </c>
      <c r="B26" s="375" t="s">
        <v>156</v>
      </c>
      <c r="C26" s="369">
        <f>36588648-D26</f>
        <v>25203986</v>
      </c>
      <c r="D26" s="369">
        <v>11384662</v>
      </c>
      <c r="E26" s="369">
        <f>52233481-SUM(C26:D26)</f>
        <v>15644833</v>
      </c>
      <c r="F26" s="369">
        <v>0</v>
      </c>
      <c r="G26" s="369">
        <v>0</v>
      </c>
      <c r="H26" s="369">
        <v>0</v>
      </c>
      <c r="I26" s="575">
        <v>0</v>
      </c>
      <c r="J26" s="369">
        <f t="shared" si="0"/>
        <v>52233481</v>
      </c>
      <c r="K26" s="372"/>
    </row>
    <row r="27" spans="1:11" x14ac:dyDescent="0.2">
      <c r="A27" s="579">
        <v>2700</v>
      </c>
      <c r="B27" s="577" t="s">
        <v>157</v>
      </c>
      <c r="C27" s="369">
        <f>14334405-D27</f>
        <v>9903650</v>
      </c>
      <c r="D27" s="369">
        <v>4430755</v>
      </c>
      <c r="E27" s="369">
        <f>16512413-SUM(C27:D27)</f>
        <v>2178008</v>
      </c>
      <c r="F27" s="369">
        <v>0</v>
      </c>
      <c r="G27" s="369">
        <v>0</v>
      </c>
      <c r="H27" s="369">
        <v>0</v>
      </c>
      <c r="I27" s="575">
        <v>0</v>
      </c>
      <c r="J27" s="369">
        <f t="shared" si="0"/>
        <v>16512413</v>
      </c>
      <c r="K27" s="212"/>
    </row>
    <row r="28" spans="1:11" hidden="1" x14ac:dyDescent="0.2">
      <c r="A28" s="391">
        <v>2900</v>
      </c>
      <c r="B28" s="375" t="s">
        <v>158</v>
      </c>
      <c r="C28" s="369">
        <v>0</v>
      </c>
      <c r="D28" s="369">
        <v>0</v>
      </c>
      <c r="E28" s="369">
        <v>0</v>
      </c>
      <c r="F28" s="369">
        <v>0</v>
      </c>
      <c r="G28" s="369">
        <v>0</v>
      </c>
      <c r="H28" s="369">
        <v>0</v>
      </c>
      <c r="I28" s="575">
        <v>0</v>
      </c>
      <c r="J28" s="369">
        <f t="shared" si="0"/>
        <v>0</v>
      </c>
      <c r="K28" s="372"/>
    </row>
    <row r="29" spans="1:11" s="569" customFormat="1" ht="15" hidden="1" x14ac:dyDescent="0.25">
      <c r="A29" s="580">
        <v>3000</v>
      </c>
      <c r="B29" s="424" t="s">
        <v>159</v>
      </c>
      <c r="C29" s="369">
        <v>0</v>
      </c>
      <c r="D29" s="369">
        <v>0</v>
      </c>
      <c r="E29" s="369">
        <v>0</v>
      </c>
      <c r="F29" s="369">
        <v>0</v>
      </c>
      <c r="G29" s="369">
        <v>0</v>
      </c>
      <c r="H29" s="369">
        <v>0</v>
      </c>
      <c r="I29" s="575">
        <v>0</v>
      </c>
      <c r="J29" s="369">
        <f t="shared" si="0"/>
        <v>0</v>
      </c>
      <c r="K29" s="581"/>
    </row>
    <row r="30" spans="1:11" hidden="1" x14ac:dyDescent="0.2">
      <c r="A30" s="579">
        <v>3100</v>
      </c>
      <c r="B30" s="577" t="s">
        <v>160</v>
      </c>
      <c r="C30" s="369">
        <v>0</v>
      </c>
      <c r="D30" s="369">
        <v>0</v>
      </c>
      <c r="E30" s="369">
        <v>0</v>
      </c>
      <c r="F30" s="369">
        <v>0</v>
      </c>
      <c r="G30" s="369">
        <v>0</v>
      </c>
      <c r="H30" s="369">
        <v>0</v>
      </c>
      <c r="I30" s="575">
        <v>0</v>
      </c>
      <c r="J30" s="369">
        <f t="shared" si="0"/>
        <v>0</v>
      </c>
      <c r="K30" s="212"/>
    </row>
    <row r="31" spans="1:11" hidden="1" x14ac:dyDescent="0.2">
      <c r="A31" s="391">
        <v>3200</v>
      </c>
      <c r="B31" s="375" t="s">
        <v>161</v>
      </c>
      <c r="C31" s="369">
        <v>0</v>
      </c>
      <c r="D31" s="369">
        <v>0</v>
      </c>
      <c r="E31" s="369">
        <v>0</v>
      </c>
      <c r="F31" s="369">
        <v>0</v>
      </c>
      <c r="G31" s="369">
        <v>0</v>
      </c>
      <c r="H31" s="369">
        <v>0</v>
      </c>
      <c r="I31" s="575">
        <v>0</v>
      </c>
      <c r="J31" s="369">
        <f t="shared" si="0"/>
        <v>0</v>
      </c>
      <c r="K31" s="372"/>
    </row>
    <row r="32" spans="1:11" hidden="1" x14ac:dyDescent="0.2">
      <c r="A32" s="391">
        <v>3300</v>
      </c>
      <c r="B32" s="375" t="s">
        <v>162</v>
      </c>
      <c r="C32" s="369">
        <v>0</v>
      </c>
      <c r="D32" s="369">
        <v>0</v>
      </c>
      <c r="E32" s="369">
        <v>0</v>
      </c>
      <c r="F32" s="369">
        <v>0</v>
      </c>
      <c r="G32" s="369">
        <v>0</v>
      </c>
      <c r="H32" s="369">
        <v>0</v>
      </c>
      <c r="I32" s="575">
        <v>0</v>
      </c>
      <c r="J32" s="369">
        <f t="shared" si="0"/>
        <v>0</v>
      </c>
      <c r="K32" s="372"/>
    </row>
    <row r="33" spans="1:11" s="585" customFormat="1" hidden="1" x14ac:dyDescent="0.2">
      <c r="A33" s="582">
        <v>4100</v>
      </c>
      <c r="B33" s="583" t="s">
        <v>163</v>
      </c>
      <c r="C33" s="369">
        <v>0</v>
      </c>
      <c r="D33" s="369">
        <v>0</v>
      </c>
      <c r="E33" s="369">
        <v>0</v>
      </c>
      <c r="F33" s="369">
        <v>0</v>
      </c>
      <c r="G33" s="369">
        <v>0</v>
      </c>
      <c r="H33" s="369">
        <v>0</v>
      </c>
      <c r="I33" s="575">
        <v>0</v>
      </c>
      <c r="J33" s="369">
        <f t="shared" si="0"/>
        <v>0</v>
      </c>
      <c r="K33" s="584"/>
    </row>
    <row r="34" spans="1:11" s="587" customFormat="1" ht="15" hidden="1" x14ac:dyDescent="0.25">
      <c r="A34" s="582">
        <v>4000</v>
      </c>
      <c r="B34" s="583" t="s">
        <v>164</v>
      </c>
      <c r="C34" s="369">
        <v>0</v>
      </c>
      <c r="D34" s="369">
        <v>0</v>
      </c>
      <c r="E34" s="369">
        <v>0</v>
      </c>
      <c r="F34" s="369">
        <v>0</v>
      </c>
      <c r="G34" s="369">
        <v>0</v>
      </c>
      <c r="H34" s="369">
        <v>0</v>
      </c>
      <c r="I34" s="575">
        <v>0</v>
      </c>
      <c r="J34" s="369">
        <f t="shared" si="0"/>
        <v>0</v>
      </c>
      <c r="K34" s="586"/>
    </row>
    <row r="35" spans="1:11" s="585" customFormat="1" hidden="1" x14ac:dyDescent="0.2">
      <c r="A35" s="582">
        <v>4200</v>
      </c>
      <c r="B35" s="583" t="s">
        <v>165</v>
      </c>
      <c r="C35" s="369">
        <v>0</v>
      </c>
      <c r="D35" s="369">
        <v>0</v>
      </c>
      <c r="E35" s="369">
        <v>0</v>
      </c>
      <c r="F35" s="369">
        <v>0</v>
      </c>
      <c r="G35" s="369">
        <v>0</v>
      </c>
      <c r="H35" s="369">
        <v>0</v>
      </c>
      <c r="I35" s="575">
        <v>0</v>
      </c>
      <c r="J35" s="369">
        <f t="shared" si="0"/>
        <v>0</v>
      </c>
      <c r="K35" s="584"/>
    </row>
    <row r="36" spans="1:11" s="585" customFormat="1" hidden="1" x14ac:dyDescent="0.2">
      <c r="A36" s="582">
        <v>4300</v>
      </c>
      <c r="B36" s="583" t="s">
        <v>166</v>
      </c>
      <c r="C36" s="369">
        <v>0</v>
      </c>
      <c r="D36" s="369">
        <v>0</v>
      </c>
      <c r="E36" s="369">
        <v>0</v>
      </c>
      <c r="F36" s="369">
        <v>0</v>
      </c>
      <c r="G36" s="369">
        <v>0</v>
      </c>
      <c r="H36" s="369">
        <v>0</v>
      </c>
      <c r="I36" s="575">
        <v>0</v>
      </c>
      <c r="J36" s="369">
        <f t="shared" si="0"/>
        <v>0</v>
      </c>
      <c r="K36" s="584"/>
    </row>
    <row r="37" spans="1:11" s="585" customFormat="1" hidden="1" x14ac:dyDescent="0.2">
      <c r="A37" s="582">
        <v>4400</v>
      </c>
      <c r="B37" s="583" t="s">
        <v>167</v>
      </c>
      <c r="C37" s="369">
        <v>0</v>
      </c>
      <c r="D37" s="369">
        <v>0</v>
      </c>
      <c r="E37" s="369">
        <v>0</v>
      </c>
      <c r="F37" s="369">
        <v>0</v>
      </c>
      <c r="G37" s="369">
        <v>0</v>
      </c>
      <c r="H37" s="369">
        <v>0</v>
      </c>
      <c r="I37" s="575">
        <v>0</v>
      </c>
      <c r="J37" s="369">
        <f t="shared" si="0"/>
        <v>0</v>
      </c>
      <c r="K37" s="584"/>
    </row>
    <row r="38" spans="1:11" s="585" customFormat="1" hidden="1" x14ac:dyDescent="0.2">
      <c r="A38" s="582">
        <v>4500</v>
      </c>
      <c r="B38" s="583" t="s">
        <v>168</v>
      </c>
      <c r="C38" s="369">
        <v>0</v>
      </c>
      <c r="D38" s="369">
        <v>0</v>
      </c>
      <c r="E38" s="369">
        <v>0</v>
      </c>
      <c r="F38" s="369">
        <v>0</v>
      </c>
      <c r="G38" s="369">
        <v>0</v>
      </c>
      <c r="H38" s="369">
        <v>0</v>
      </c>
      <c r="I38" s="575">
        <v>0</v>
      </c>
      <c r="J38" s="369">
        <f t="shared" si="0"/>
        <v>0</v>
      </c>
      <c r="K38" s="584"/>
    </row>
    <row r="39" spans="1:11" s="585" customFormat="1" hidden="1" x14ac:dyDescent="0.2">
      <c r="A39" s="582">
        <v>4600</v>
      </c>
      <c r="B39" s="583" t="s">
        <v>169</v>
      </c>
      <c r="C39" s="369">
        <v>0</v>
      </c>
      <c r="D39" s="369">
        <v>0</v>
      </c>
      <c r="E39" s="369">
        <v>0</v>
      </c>
      <c r="F39" s="369">
        <v>0</v>
      </c>
      <c r="G39" s="369">
        <v>0</v>
      </c>
      <c r="H39" s="369">
        <v>0</v>
      </c>
      <c r="I39" s="575">
        <v>0</v>
      </c>
      <c r="J39" s="369">
        <f t="shared" si="0"/>
        <v>0</v>
      </c>
      <c r="K39" s="584"/>
    </row>
    <row r="40" spans="1:11" s="585" customFormat="1" hidden="1" x14ac:dyDescent="0.2">
      <c r="A40" s="582">
        <v>4700</v>
      </c>
      <c r="B40" s="583" t="s">
        <v>170</v>
      </c>
      <c r="C40" s="369">
        <v>0</v>
      </c>
      <c r="D40" s="369">
        <v>0</v>
      </c>
      <c r="E40" s="369">
        <v>0</v>
      </c>
      <c r="F40" s="369">
        <v>0</v>
      </c>
      <c r="G40" s="369">
        <v>0</v>
      </c>
      <c r="H40" s="369">
        <v>0</v>
      </c>
      <c r="I40" s="575">
        <v>0</v>
      </c>
      <c r="J40" s="369">
        <f t="shared" si="0"/>
        <v>0</v>
      </c>
      <c r="K40" s="584"/>
    </row>
    <row r="41" spans="1:11" s="585" customFormat="1" hidden="1" x14ac:dyDescent="0.2">
      <c r="A41" s="582">
        <v>4900</v>
      </c>
      <c r="B41" s="583" t="s">
        <v>171</v>
      </c>
      <c r="C41" s="369">
        <v>0</v>
      </c>
      <c r="D41" s="369">
        <v>0</v>
      </c>
      <c r="E41" s="369">
        <v>0</v>
      </c>
      <c r="F41" s="369">
        <v>0</v>
      </c>
      <c r="G41" s="369">
        <v>0</v>
      </c>
      <c r="H41" s="369">
        <v>0</v>
      </c>
      <c r="I41" s="575">
        <v>0</v>
      </c>
      <c r="J41" s="369">
        <f t="shared" si="0"/>
        <v>0</v>
      </c>
      <c r="K41" s="584"/>
    </row>
    <row r="42" spans="1:11" hidden="1" x14ac:dyDescent="0.2">
      <c r="A42" s="582">
        <v>5000</v>
      </c>
      <c r="B42" s="588" t="s">
        <v>172</v>
      </c>
      <c r="C42" s="369">
        <v>0</v>
      </c>
      <c r="D42" s="369">
        <v>0</v>
      </c>
      <c r="E42" s="369">
        <v>0</v>
      </c>
      <c r="F42" s="369">
        <v>0</v>
      </c>
      <c r="G42" s="369">
        <v>0</v>
      </c>
      <c r="H42" s="369">
        <v>0</v>
      </c>
      <c r="I42" s="575">
        <v>0</v>
      </c>
      <c r="J42" s="369">
        <f t="shared" si="0"/>
        <v>0</v>
      </c>
      <c r="K42" s="372"/>
    </row>
    <row r="43" spans="1:11" hidden="1" x14ac:dyDescent="0.2">
      <c r="A43" s="582">
        <v>5000</v>
      </c>
      <c r="B43" s="588" t="s">
        <v>173</v>
      </c>
      <c r="C43" s="369">
        <v>0</v>
      </c>
      <c r="D43" s="369">
        <v>0</v>
      </c>
      <c r="E43" s="369">
        <v>0</v>
      </c>
      <c r="F43" s="369">
        <v>0</v>
      </c>
      <c r="G43" s="369">
        <v>0</v>
      </c>
      <c r="H43" s="369">
        <v>0</v>
      </c>
      <c r="I43" s="575">
        <v>0</v>
      </c>
      <c r="J43" s="369">
        <f t="shared" si="0"/>
        <v>0</v>
      </c>
      <c r="K43" s="372"/>
    </row>
    <row r="44" spans="1:11" hidden="1" x14ac:dyDescent="0.2">
      <c r="A44" s="582">
        <v>6100</v>
      </c>
      <c r="B44" s="588" t="s">
        <v>174</v>
      </c>
      <c r="C44" s="369">
        <v>0</v>
      </c>
      <c r="D44" s="369">
        <v>0</v>
      </c>
      <c r="E44" s="369">
        <v>0</v>
      </c>
      <c r="F44" s="369">
        <v>0</v>
      </c>
      <c r="G44" s="369">
        <v>0</v>
      </c>
      <c r="H44" s="369">
        <v>0</v>
      </c>
      <c r="I44" s="575">
        <v>0</v>
      </c>
      <c r="J44" s="369">
        <f t="shared" si="0"/>
        <v>0</v>
      </c>
      <c r="K44" s="372"/>
    </row>
    <row r="45" spans="1:11" x14ac:dyDescent="0.2">
      <c r="A45" s="391">
        <v>6200</v>
      </c>
      <c r="B45" s="375" t="s">
        <v>175</v>
      </c>
      <c r="C45" s="369">
        <v>0</v>
      </c>
      <c r="D45" s="369">
        <v>0</v>
      </c>
      <c r="E45" s="369">
        <v>0</v>
      </c>
      <c r="F45" s="369">
        <v>45355506</v>
      </c>
      <c r="G45" s="369"/>
      <c r="H45" s="369">
        <v>0</v>
      </c>
      <c r="I45" s="575">
        <v>0</v>
      </c>
      <c r="J45" s="369">
        <f t="shared" si="0"/>
        <v>45355506</v>
      </c>
      <c r="K45" s="372"/>
    </row>
    <row r="46" spans="1:11" x14ac:dyDescent="0.2">
      <c r="A46" s="391">
        <v>6300</v>
      </c>
      <c r="B46" s="375" t="s">
        <v>176</v>
      </c>
      <c r="C46" s="369">
        <v>0</v>
      </c>
      <c r="D46" s="369">
        <v>0</v>
      </c>
      <c r="E46" s="369">
        <v>0</v>
      </c>
      <c r="F46" s="369">
        <v>0</v>
      </c>
      <c r="G46" s="369">
        <v>1031242</v>
      </c>
      <c r="H46" s="369">
        <v>0</v>
      </c>
      <c r="I46" s="575">
        <v>0</v>
      </c>
      <c r="J46" s="369">
        <f t="shared" si="0"/>
        <v>1031242</v>
      </c>
      <c r="K46" s="372"/>
    </row>
    <row r="47" spans="1:11" ht="15" thickBot="1" x14ac:dyDescent="0.25">
      <c r="A47" s="391">
        <v>8000</v>
      </c>
      <c r="B47" s="589" t="s">
        <v>177</v>
      </c>
      <c r="C47" s="369">
        <v>0</v>
      </c>
      <c r="D47" s="369">
        <v>0</v>
      </c>
      <c r="E47" s="369">
        <v>0</v>
      </c>
      <c r="F47" s="369">
        <v>0</v>
      </c>
      <c r="G47" s="369">
        <v>0</v>
      </c>
      <c r="H47" s="369">
        <f>37476761+1231215</f>
        <v>38707976</v>
      </c>
      <c r="I47" s="575">
        <v>0</v>
      </c>
      <c r="J47" s="369">
        <f t="shared" si="0"/>
        <v>38707976</v>
      </c>
      <c r="K47" s="372"/>
    </row>
    <row r="48" spans="1:11" ht="15" hidden="1" thickBot="1" x14ac:dyDescent="0.25">
      <c r="A48" s="391"/>
      <c r="B48" s="589" t="s">
        <v>445</v>
      </c>
      <c r="C48" s="369">
        <v>0</v>
      </c>
      <c r="D48" s="369">
        <v>0</v>
      </c>
      <c r="E48" s="369">
        <v>0</v>
      </c>
      <c r="F48" s="369">
        <v>0</v>
      </c>
      <c r="G48" s="369">
        <v>0</v>
      </c>
      <c r="H48" s="369">
        <v>0</v>
      </c>
      <c r="I48" s="575">
        <v>0</v>
      </c>
      <c r="J48" s="369">
        <f t="shared" si="0"/>
        <v>0</v>
      </c>
      <c r="K48" s="372"/>
    </row>
    <row r="49" spans="1:11" ht="15" hidden="1" thickBot="1" x14ac:dyDescent="0.25">
      <c r="A49" s="590"/>
      <c r="B49" s="380" t="s">
        <v>446</v>
      </c>
      <c r="C49" s="369">
        <v>0</v>
      </c>
      <c r="D49" s="369">
        <v>0</v>
      </c>
      <c r="E49" s="369">
        <v>0</v>
      </c>
      <c r="F49" s="369">
        <v>0</v>
      </c>
      <c r="G49" s="369">
        <v>0</v>
      </c>
      <c r="H49" s="369">
        <v>0</v>
      </c>
      <c r="I49" s="575">
        <v>0</v>
      </c>
      <c r="J49" s="369">
        <f t="shared" si="0"/>
        <v>0</v>
      </c>
      <c r="K49" s="372"/>
    </row>
    <row r="50" spans="1:11" ht="15" hidden="1" thickBot="1" x14ac:dyDescent="0.25">
      <c r="A50" s="591"/>
      <c r="B50" s="592" t="s">
        <v>255</v>
      </c>
      <c r="C50" s="593">
        <v>0</v>
      </c>
      <c r="D50" s="593">
        <v>0</v>
      </c>
      <c r="E50" s="593">
        <v>0</v>
      </c>
      <c r="F50" s="593">
        <v>0</v>
      </c>
      <c r="G50" s="593">
        <v>0</v>
      </c>
      <c r="H50" s="593">
        <v>0</v>
      </c>
      <c r="I50" s="594">
        <v>0</v>
      </c>
      <c r="J50" s="593">
        <f t="shared" si="0"/>
        <v>0</v>
      </c>
      <c r="K50" s="416"/>
    </row>
    <row r="51" spans="1:11" ht="15.75" thickBot="1" x14ac:dyDescent="0.3">
      <c r="A51" s="595"/>
      <c r="B51" s="596" t="s">
        <v>577</v>
      </c>
      <c r="C51" s="597">
        <f>SUM(C2:C50)</f>
        <v>277491340</v>
      </c>
      <c r="D51" s="597">
        <f>SUM(D2:D50)</f>
        <v>122583047</v>
      </c>
      <c r="E51" s="597">
        <f>SUM(E2:E50)</f>
        <v>45293028</v>
      </c>
      <c r="F51" s="597">
        <f t="shared" ref="F51:I51" si="1">SUM(F2:F50)</f>
        <v>45355506</v>
      </c>
      <c r="G51" s="597">
        <f t="shared" si="1"/>
        <v>1031242</v>
      </c>
      <c r="H51" s="597">
        <f t="shared" si="1"/>
        <v>38707976</v>
      </c>
      <c r="I51" s="598">
        <f t="shared" si="1"/>
        <v>0</v>
      </c>
      <c r="J51" s="597">
        <f t="shared" si="0"/>
        <v>530462139</v>
      </c>
      <c r="K51" s="599"/>
    </row>
    <row r="52" spans="1:11" ht="15" x14ac:dyDescent="0.25">
      <c r="A52" s="580" t="s">
        <v>448</v>
      </c>
      <c r="B52" s="375"/>
      <c r="C52" s="600">
        <v>0</v>
      </c>
      <c r="D52" s="600">
        <v>0</v>
      </c>
      <c r="E52" s="600">
        <v>0</v>
      </c>
      <c r="F52" s="600">
        <v>0</v>
      </c>
      <c r="G52" s="600">
        <v>0</v>
      </c>
      <c r="H52" s="600">
        <v>39007159</v>
      </c>
      <c r="I52" s="601">
        <f>99655490-H52</f>
        <v>60648331</v>
      </c>
      <c r="J52" s="433">
        <f t="shared" si="0"/>
        <v>99655490</v>
      </c>
      <c r="K52" s="429"/>
    </row>
    <row r="53" spans="1:11" ht="15.75" thickBot="1" x14ac:dyDescent="0.3">
      <c r="A53" s="602" t="s">
        <v>453</v>
      </c>
      <c r="B53" s="603"/>
      <c r="C53" s="572">
        <v>0</v>
      </c>
      <c r="D53" s="572">
        <v>0</v>
      </c>
      <c r="E53" s="572">
        <v>0</v>
      </c>
      <c r="F53" s="572">
        <v>0</v>
      </c>
      <c r="G53" s="572">
        <v>0</v>
      </c>
      <c r="H53" s="572">
        <v>45067309</v>
      </c>
      <c r="I53" s="573">
        <f>63214459-H53</f>
        <v>18147150</v>
      </c>
      <c r="J53" s="574">
        <f t="shared" si="0"/>
        <v>63214459</v>
      </c>
      <c r="K53" s="416"/>
    </row>
    <row r="54" spans="1:11" ht="20.25" customHeight="1" thickBot="1" x14ac:dyDescent="0.3">
      <c r="A54" s="604" t="s">
        <v>454</v>
      </c>
      <c r="B54" s="605"/>
      <c r="C54" s="606">
        <f>SUM(C51:C53)</f>
        <v>277491340</v>
      </c>
      <c r="D54" s="606">
        <f t="shared" ref="D54:H54" si="2">SUM(D51:D53)</f>
        <v>122583047</v>
      </c>
      <c r="E54" s="606">
        <f t="shared" si="2"/>
        <v>45293028</v>
      </c>
      <c r="F54" s="606">
        <f t="shared" si="2"/>
        <v>45355506</v>
      </c>
      <c r="G54" s="606">
        <f t="shared" si="2"/>
        <v>1031242</v>
      </c>
      <c r="H54" s="606">
        <f t="shared" si="2"/>
        <v>122782444</v>
      </c>
      <c r="I54" s="607">
        <f>SUM(I51:I53)</f>
        <v>78795481</v>
      </c>
      <c r="J54" s="597">
        <f>SUM(C54:I54)</f>
        <v>693332088</v>
      </c>
      <c r="K54" s="599"/>
    </row>
    <row r="55" spans="1:11" ht="18" customHeight="1" x14ac:dyDescent="0.25">
      <c r="A55" s="580" t="s">
        <v>308</v>
      </c>
      <c r="B55" s="375"/>
      <c r="C55" s="433"/>
      <c r="D55" s="600"/>
      <c r="E55" s="600"/>
      <c r="F55" s="600"/>
      <c r="G55" s="600"/>
      <c r="H55" s="600"/>
      <c r="I55" s="601"/>
      <c r="J55" s="433"/>
      <c r="K55" s="429"/>
    </row>
    <row r="56" spans="1:11" ht="15" hidden="1" x14ac:dyDescent="0.25">
      <c r="A56" s="391"/>
      <c r="B56" s="375" t="s">
        <v>179</v>
      </c>
      <c r="C56" s="369">
        <v>0</v>
      </c>
      <c r="D56" s="369">
        <v>0</v>
      </c>
      <c r="E56" s="369">
        <v>0</v>
      </c>
      <c r="F56" s="369">
        <v>0</v>
      </c>
      <c r="G56" s="369">
        <v>0</v>
      </c>
      <c r="H56" s="369">
        <v>0</v>
      </c>
      <c r="I56" s="575">
        <v>0</v>
      </c>
      <c r="J56" s="369">
        <f t="shared" si="0"/>
        <v>0</v>
      </c>
      <c r="K56" s="608"/>
    </row>
    <row r="57" spans="1:11" ht="15" hidden="1" x14ac:dyDescent="0.25">
      <c r="A57" s="391"/>
      <c r="B57" s="375" t="s">
        <v>145</v>
      </c>
      <c r="C57" s="369">
        <v>0</v>
      </c>
      <c r="D57" s="369">
        <v>0</v>
      </c>
      <c r="E57" s="369">
        <v>0</v>
      </c>
      <c r="F57" s="369">
        <v>0</v>
      </c>
      <c r="G57" s="369">
        <v>0</v>
      </c>
      <c r="H57" s="369">
        <v>0</v>
      </c>
      <c r="I57" s="575">
        <v>0</v>
      </c>
      <c r="J57" s="369">
        <f t="shared" si="0"/>
        <v>0</v>
      </c>
      <c r="K57" s="608"/>
    </row>
    <row r="58" spans="1:11" ht="15" hidden="1" x14ac:dyDescent="0.25">
      <c r="A58" s="391"/>
      <c r="B58" s="375" t="s">
        <v>180</v>
      </c>
      <c r="C58" s="369">
        <v>0</v>
      </c>
      <c r="D58" s="369">
        <v>0</v>
      </c>
      <c r="E58" s="369">
        <v>0</v>
      </c>
      <c r="F58" s="369">
        <v>0</v>
      </c>
      <c r="G58" s="369">
        <v>0</v>
      </c>
      <c r="H58" s="369">
        <v>0</v>
      </c>
      <c r="I58" s="575">
        <v>0</v>
      </c>
      <c r="J58" s="369">
        <f t="shared" si="0"/>
        <v>0</v>
      </c>
      <c r="K58" s="608"/>
    </row>
    <row r="59" spans="1:11" ht="15" hidden="1" x14ac:dyDescent="0.25">
      <c r="A59" s="391"/>
      <c r="B59" s="375" t="s">
        <v>181</v>
      </c>
      <c r="C59" s="369">
        <v>0</v>
      </c>
      <c r="D59" s="369">
        <v>0</v>
      </c>
      <c r="E59" s="369">
        <v>0</v>
      </c>
      <c r="F59" s="369">
        <v>0</v>
      </c>
      <c r="G59" s="369">
        <v>0</v>
      </c>
      <c r="H59" s="369">
        <v>0</v>
      </c>
      <c r="I59" s="575">
        <v>0</v>
      </c>
      <c r="J59" s="369">
        <f t="shared" si="0"/>
        <v>0</v>
      </c>
      <c r="K59" s="608"/>
    </row>
    <row r="60" spans="1:11" ht="15" hidden="1" x14ac:dyDescent="0.25">
      <c r="A60" s="391"/>
      <c r="B60" s="375" t="s">
        <v>182</v>
      </c>
      <c r="C60" s="369">
        <v>0</v>
      </c>
      <c r="D60" s="369">
        <v>0</v>
      </c>
      <c r="E60" s="369">
        <v>0</v>
      </c>
      <c r="F60" s="369">
        <v>0</v>
      </c>
      <c r="G60" s="369">
        <v>0</v>
      </c>
      <c r="H60" s="369">
        <v>0</v>
      </c>
      <c r="I60" s="575">
        <v>0</v>
      </c>
      <c r="J60" s="369">
        <f t="shared" si="0"/>
        <v>0</v>
      </c>
      <c r="K60" s="608"/>
    </row>
    <row r="61" spans="1:11" ht="15" hidden="1" x14ac:dyDescent="0.25">
      <c r="A61" s="609"/>
      <c r="B61" s="380" t="s">
        <v>183</v>
      </c>
      <c r="C61" s="369">
        <v>0</v>
      </c>
      <c r="D61" s="369">
        <v>0</v>
      </c>
      <c r="E61" s="369">
        <v>0</v>
      </c>
      <c r="F61" s="369">
        <v>0</v>
      </c>
      <c r="G61" s="369">
        <v>0</v>
      </c>
      <c r="H61" s="369">
        <v>0</v>
      </c>
      <c r="I61" s="575">
        <v>0</v>
      </c>
      <c r="J61" s="369">
        <f t="shared" si="0"/>
        <v>0</v>
      </c>
      <c r="K61" s="608"/>
    </row>
    <row r="62" spans="1:11" ht="15" hidden="1" x14ac:dyDescent="0.25">
      <c r="A62" s="609"/>
      <c r="B62" s="380" t="s">
        <v>184</v>
      </c>
      <c r="C62" s="369">
        <v>0</v>
      </c>
      <c r="D62" s="369">
        <v>0</v>
      </c>
      <c r="E62" s="369">
        <v>0</v>
      </c>
      <c r="F62" s="369">
        <v>0</v>
      </c>
      <c r="G62" s="369">
        <v>0</v>
      </c>
      <c r="H62" s="369">
        <v>0</v>
      </c>
      <c r="I62" s="575">
        <v>0</v>
      </c>
      <c r="J62" s="369">
        <f t="shared" si="0"/>
        <v>0</v>
      </c>
      <c r="K62" s="608"/>
    </row>
    <row r="63" spans="1:11" ht="15" x14ac:dyDescent="0.25">
      <c r="A63" s="609"/>
      <c r="B63" s="380" t="s">
        <v>185</v>
      </c>
      <c r="C63" s="369">
        <v>0</v>
      </c>
      <c r="D63" s="369">
        <v>0</v>
      </c>
      <c r="E63" s="369">
        <v>0</v>
      </c>
      <c r="F63" s="369">
        <v>0</v>
      </c>
      <c r="G63" s="369">
        <v>0</v>
      </c>
      <c r="H63" s="369">
        <v>135000</v>
      </c>
      <c r="I63" s="575">
        <f>6886+484771+175000+387774</f>
        <v>1054431</v>
      </c>
      <c r="J63" s="369">
        <f t="shared" si="0"/>
        <v>1189431</v>
      </c>
      <c r="K63" s="608"/>
    </row>
    <row r="64" spans="1:11" ht="15" hidden="1" x14ac:dyDescent="0.25">
      <c r="A64" s="609"/>
      <c r="B64" s="380" t="s">
        <v>186</v>
      </c>
      <c r="C64" s="369">
        <v>0</v>
      </c>
      <c r="D64" s="369">
        <v>0</v>
      </c>
      <c r="E64" s="369">
        <v>0</v>
      </c>
      <c r="F64" s="369">
        <v>0</v>
      </c>
      <c r="G64" s="369">
        <v>0</v>
      </c>
      <c r="H64" s="369">
        <v>0</v>
      </c>
      <c r="I64" s="575">
        <v>0</v>
      </c>
      <c r="J64" s="369">
        <f t="shared" si="0"/>
        <v>0</v>
      </c>
      <c r="K64" s="608"/>
    </row>
    <row r="65" spans="1:11" ht="15" hidden="1" x14ac:dyDescent="0.25">
      <c r="A65" s="609"/>
      <c r="B65" s="380" t="s">
        <v>187</v>
      </c>
      <c r="C65" s="369">
        <v>0</v>
      </c>
      <c r="D65" s="369">
        <v>0</v>
      </c>
      <c r="E65" s="369">
        <v>0</v>
      </c>
      <c r="F65" s="369">
        <v>0</v>
      </c>
      <c r="G65" s="369">
        <v>0</v>
      </c>
      <c r="H65" s="369">
        <v>0</v>
      </c>
      <c r="I65" s="575">
        <v>0</v>
      </c>
      <c r="J65" s="369">
        <f t="shared" si="0"/>
        <v>0</v>
      </c>
      <c r="K65" s="608"/>
    </row>
    <row r="66" spans="1:11" ht="15" hidden="1" x14ac:dyDescent="0.25">
      <c r="A66" s="609"/>
      <c r="B66" s="380" t="s">
        <v>188</v>
      </c>
      <c r="C66" s="369">
        <v>0</v>
      </c>
      <c r="D66" s="369">
        <v>0</v>
      </c>
      <c r="E66" s="369">
        <v>0</v>
      </c>
      <c r="F66" s="369">
        <v>0</v>
      </c>
      <c r="G66" s="369">
        <v>0</v>
      </c>
      <c r="H66" s="369">
        <v>0</v>
      </c>
      <c r="I66" s="575">
        <v>0</v>
      </c>
      <c r="J66" s="369">
        <f t="shared" si="0"/>
        <v>0</v>
      </c>
      <c r="K66" s="608"/>
    </row>
    <row r="67" spans="1:11" ht="15" hidden="1" x14ac:dyDescent="0.25">
      <c r="A67" s="609"/>
      <c r="B67" s="380" t="s">
        <v>189</v>
      </c>
      <c r="C67" s="369">
        <v>0</v>
      </c>
      <c r="D67" s="369">
        <v>0</v>
      </c>
      <c r="E67" s="369">
        <v>0</v>
      </c>
      <c r="F67" s="369">
        <v>0</v>
      </c>
      <c r="G67" s="369">
        <v>0</v>
      </c>
      <c r="H67" s="369">
        <v>0</v>
      </c>
      <c r="I67" s="575">
        <v>0</v>
      </c>
      <c r="J67" s="369">
        <f t="shared" si="0"/>
        <v>0</v>
      </c>
      <c r="K67" s="608"/>
    </row>
    <row r="68" spans="1:11" ht="15" hidden="1" x14ac:dyDescent="0.25">
      <c r="A68" s="391"/>
      <c r="B68" s="375" t="s">
        <v>190</v>
      </c>
      <c r="C68" s="369">
        <v>0</v>
      </c>
      <c r="D68" s="369">
        <v>0</v>
      </c>
      <c r="E68" s="369">
        <v>0</v>
      </c>
      <c r="F68" s="369">
        <v>0</v>
      </c>
      <c r="G68" s="369">
        <v>0</v>
      </c>
      <c r="H68" s="369">
        <v>0</v>
      </c>
      <c r="I68" s="575">
        <v>0</v>
      </c>
      <c r="J68" s="369">
        <f t="shared" ref="J68:J131" si="3">SUM(C68:I68)</f>
        <v>0</v>
      </c>
      <c r="K68" s="608"/>
    </row>
    <row r="69" spans="1:11" ht="15" x14ac:dyDescent="0.25">
      <c r="A69" s="391"/>
      <c r="B69" s="375" t="s">
        <v>191</v>
      </c>
      <c r="C69" s="369">
        <f>19067925*0.7</f>
        <v>13347547.5</v>
      </c>
      <c r="D69" s="369">
        <f>19067925-C69</f>
        <v>5720377.5</v>
      </c>
      <c r="E69" s="369">
        <v>0</v>
      </c>
      <c r="F69" s="369">
        <v>0</v>
      </c>
      <c r="G69" s="369">
        <v>0</v>
      </c>
      <c r="H69" s="369">
        <v>0</v>
      </c>
      <c r="I69" s="575">
        <v>0</v>
      </c>
      <c r="J69" s="369">
        <f t="shared" si="3"/>
        <v>19067925</v>
      </c>
      <c r="K69" s="608"/>
    </row>
    <row r="70" spans="1:11" ht="15" hidden="1" x14ac:dyDescent="0.25">
      <c r="A70" s="391"/>
      <c r="B70" s="375" t="s">
        <v>192</v>
      </c>
      <c r="C70" s="369">
        <v>0</v>
      </c>
      <c r="D70" s="369">
        <v>0</v>
      </c>
      <c r="E70" s="369">
        <v>0</v>
      </c>
      <c r="F70" s="369">
        <v>0</v>
      </c>
      <c r="G70" s="369">
        <v>0</v>
      </c>
      <c r="H70" s="369">
        <v>0</v>
      </c>
      <c r="I70" s="575">
        <v>0</v>
      </c>
      <c r="J70" s="369">
        <f t="shared" si="3"/>
        <v>0</v>
      </c>
      <c r="K70" s="608"/>
    </row>
    <row r="71" spans="1:11" ht="15" x14ac:dyDescent="0.25">
      <c r="A71" s="391"/>
      <c r="B71" s="375" t="s">
        <v>193</v>
      </c>
      <c r="C71" s="369">
        <v>0</v>
      </c>
      <c r="D71" s="369">
        <v>0</v>
      </c>
      <c r="E71" s="369">
        <v>0</v>
      </c>
      <c r="F71" s="369">
        <v>0</v>
      </c>
      <c r="G71" s="369">
        <v>0</v>
      </c>
      <c r="H71" s="369">
        <v>310000</v>
      </c>
      <c r="I71" s="575">
        <f>566401.66+25000+308513.75</f>
        <v>899915.41</v>
      </c>
      <c r="J71" s="369">
        <f t="shared" si="3"/>
        <v>1209915.4100000001</v>
      </c>
      <c r="K71" s="608"/>
    </row>
    <row r="72" spans="1:11" ht="15" x14ac:dyDescent="0.25">
      <c r="A72" s="391"/>
      <c r="B72" s="375" t="s">
        <v>194</v>
      </c>
      <c r="C72" s="369">
        <v>0</v>
      </c>
      <c r="D72" s="369">
        <v>0</v>
      </c>
      <c r="E72" s="369">
        <v>0</v>
      </c>
      <c r="F72" s="369">
        <v>0</v>
      </c>
      <c r="G72" s="369">
        <v>0</v>
      </c>
      <c r="H72" s="369">
        <v>0</v>
      </c>
      <c r="I72" s="575">
        <f>1199404.69+6858712.34+2217659.22+7534406.49</f>
        <v>17810182.740000002</v>
      </c>
      <c r="J72" s="369">
        <f t="shared" si="3"/>
        <v>17810182.740000002</v>
      </c>
      <c r="K72" s="608"/>
    </row>
    <row r="73" spans="1:11" ht="15" x14ac:dyDescent="0.25">
      <c r="A73" s="391"/>
      <c r="B73" s="375" t="s">
        <v>195</v>
      </c>
      <c r="C73" s="369">
        <v>0</v>
      </c>
      <c r="D73" s="369">
        <v>0</v>
      </c>
      <c r="E73" s="369">
        <v>0</v>
      </c>
      <c r="F73" s="369">
        <v>0</v>
      </c>
      <c r="G73" s="369">
        <v>0</v>
      </c>
      <c r="H73" s="369">
        <v>0</v>
      </c>
      <c r="I73" s="575">
        <f>7379218.8+63002751.12+1000000</f>
        <v>71381969.920000002</v>
      </c>
      <c r="J73" s="369">
        <f t="shared" si="3"/>
        <v>71381969.920000002</v>
      </c>
      <c r="K73" s="608"/>
    </row>
    <row r="74" spans="1:11" ht="15" x14ac:dyDescent="0.25">
      <c r="A74" s="391"/>
      <c r="B74" s="375" t="s">
        <v>196</v>
      </c>
      <c r="C74" s="369">
        <v>0</v>
      </c>
      <c r="D74" s="369">
        <v>0</v>
      </c>
      <c r="E74" s="369">
        <v>0</v>
      </c>
      <c r="F74" s="369">
        <v>0</v>
      </c>
      <c r="G74" s="369">
        <v>0</v>
      </c>
      <c r="H74" s="369">
        <v>5572824</v>
      </c>
      <c r="I74" s="575">
        <f>3965000+17459000+7656000+41020000</f>
        <v>70100000</v>
      </c>
      <c r="J74" s="369">
        <f t="shared" si="3"/>
        <v>75672824</v>
      </c>
      <c r="K74" s="608"/>
    </row>
    <row r="75" spans="1:11" ht="15" x14ac:dyDescent="0.25">
      <c r="A75" s="391"/>
      <c r="B75" s="375" t="s">
        <v>197</v>
      </c>
      <c r="C75" s="369">
        <v>0</v>
      </c>
      <c r="D75" s="369">
        <v>0</v>
      </c>
      <c r="E75" s="369">
        <v>0</v>
      </c>
      <c r="F75" s="369">
        <v>0</v>
      </c>
      <c r="G75" s="369">
        <v>0</v>
      </c>
      <c r="H75" s="369">
        <v>5000000</v>
      </c>
      <c r="I75" s="575">
        <f>3420000+25000000+218000000+14000000+23000000</f>
        <v>283420000</v>
      </c>
      <c r="J75" s="369">
        <f t="shared" si="3"/>
        <v>288420000</v>
      </c>
      <c r="K75" s="608"/>
    </row>
    <row r="76" spans="1:11" ht="15" x14ac:dyDescent="0.25">
      <c r="A76" s="391"/>
      <c r="B76" s="375" t="s">
        <v>198</v>
      </c>
      <c r="C76" s="369">
        <v>0</v>
      </c>
      <c r="D76" s="369">
        <v>0</v>
      </c>
      <c r="E76" s="369">
        <v>0</v>
      </c>
      <c r="F76" s="369">
        <v>2001442</v>
      </c>
      <c r="G76" s="369">
        <v>0</v>
      </c>
      <c r="H76" s="369">
        <v>8679514.8200000003</v>
      </c>
      <c r="I76" s="575">
        <f>185417+60000+2557890.77+1626938.43+811147+1668117.28</f>
        <v>6909510.4800000004</v>
      </c>
      <c r="J76" s="369">
        <f t="shared" si="3"/>
        <v>17590467.300000001</v>
      </c>
      <c r="K76" s="608"/>
    </row>
    <row r="77" spans="1:11" ht="15" x14ac:dyDescent="0.25">
      <c r="A77" s="391"/>
      <c r="B77" s="375" t="s">
        <v>199</v>
      </c>
      <c r="C77" s="369">
        <v>0</v>
      </c>
      <c r="D77" s="369">
        <v>0</v>
      </c>
      <c r="E77" s="369">
        <v>0</v>
      </c>
      <c r="F77" s="369">
        <v>46309425</v>
      </c>
      <c r="G77" s="369">
        <v>0</v>
      </c>
      <c r="H77" s="369">
        <v>0</v>
      </c>
      <c r="I77" s="575">
        <f>2590702.54+6488542.55+30197444.08+5882944.64+8779382.85</f>
        <v>53939016.660000004</v>
      </c>
      <c r="J77" s="369">
        <f t="shared" si="3"/>
        <v>100248441.66</v>
      </c>
      <c r="K77" s="608"/>
    </row>
    <row r="78" spans="1:11" ht="15" hidden="1" x14ac:dyDescent="0.25">
      <c r="A78" s="391"/>
      <c r="B78" s="375" t="s">
        <v>200</v>
      </c>
      <c r="C78" s="369">
        <v>0</v>
      </c>
      <c r="D78" s="369">
        <v>0</v>
      </c>
      <c r="E78" s="369">
        <v>0</v>
      </c>
      <c r="F78" s="369">
        <v>0</v>
      </c>
      <c r="G78" s="369">
        <v>0</v>
      </c>
      <c r="H78" s="369">
        <v>0</v>
      </c>
      <c r="I78" s="575">
        <v>0</v>
      </c>
      <c r="J78" s="369">
        <f t="shared" si="3"/>
        <v>0</v>
      </c>
      <c r="K78" s="608"/>
    </row>
    <row r="79" spans="1:11" ht="15" hidden="1" x14ac:dyDescent="0.25">
      <c r="A79" s="391"/>
      <c r="B79" s="375" t="s">
        <v>201</v>
      </c>
      <c r="C79" s="369">
        <v>0</v>
      </c>
      <c r="D79" s="369">
        <v>0</v>
      </c>
      <c r="E79" s="369">
        <v>0</v>
      </c>
      <c r="F79" s="369">
        <v>0</v>
      </c>
      <c r="G79" s="369">
        <v>0</v>
      </c>
      <c r="H79" s="369">
        <v>0</v>
      </c>
      <c r="I79" s="575">
        <v>0</v>
      </c>
      <c r="J79" s="369">
        <f t="shared" si="3"/>
        <v>0</v>
      </c>
      <c r="K79" s="608"/>
    </row>
    <row r="80" spans="1:11" ht="15" hidden="1" x14ac:dyDescent="0.25">
      <c r="A80" s="391"/>
      <c r="B80" s="375" t="s">
        <v>202</v>
      </c>
      <c r="C80" s="369">
        <v>0</v>
      </c>
      <c r="D80" s="369">
        <v>0</v>
      </c>
      <c r="E80" s="369">
        <v>0</v>
      </c>
      <c r="F80" s="369">
        <v>0</v>
      </c>
      <c r="G80" s="369">
        <v>0</v>
      </c>
      <c r="H80" s="369">
        <v>0</v>
      </c>
      <c r="I80" s="575">
        <v>0</v>
      </c>
      <c r="J80" s="369">
        <f t="shared" si="3"/>
        <v>0</v>
      </c>
      <c r="K80" s="608"/>
    </row>
    <row r="81" spans="1:12" ht="15" hidden="1" x14ac:dyDescent="0.25">
      <c r="A81" s="391"/>
      <c r="B81" s="375" t="s">
        <v>203</v>
      </c>
      <c r="C81" s="369">
        <v>0</v>
      </c>
      <c r="D81" s="369">
        <v>0</v>
      </c>
      <c r="E81" s="369">
        <v>0</v>
      </c>
      <c r="F81" s="369">
        <v>0</v>
      </c>
      <c r="G81" s="369">
        <v>0</v>
      </c>
      <c r="H81" s="369">
        <v>0</v>
      </c>
      <c r="I81" s="575">
        <v>0</v>
      </c>
      <c r="J81" s="369">
        <f t="shared" si="3"/>
        <v>0</v>
      </c>
      <c r="K81" s="608"/>
    </row>
    <row r="82" spans="1:12" ht="15" x14ac:dyDescent="0.25">
      <c r="A82" s="391"/>
      <c r="B82" s="375" t="s">
        <v>204</v>
      </c>
      <c r="C82" s="369">
        <v>0</v>
      </c>
      <c r="D82" s="369">
        <v>0</v>
      </c>
      <c r="E82" s="369">
        <v>0</v>
      </c>
      <c r="F82" s="369">
        <v>0</v>
      </c>
      <c r="G82" s="369">
        <v>0</v>
      </c>
      <c r="H82" s="369">
        <v>50000</v>
      </c>
      <c r="I82" s="575">
        <v>40660538</v>
      </c>
      <c r="J82" s="369">
        <f t="shared" si="3"/>
        <v>40710538</v>
      </c>
      <c r="K82" s="608"/>
    </row>
    <row r="83" spans="1:12" ht="15" hidden="1" x14ac:dyDescent="0.25">
      <c r="A83" s="391"/>
      <c r="B83" s="375" t="s">
        <v>205</v>
      </c>
      <c r="C83" s="369">
        <v>0</v>
      </c>
      <c r="D83" s="369">
        <v>0</v>
      </c>
      <c r="E83" s="369">
        <v>0</v>
      </c>
      <c r="F83" s="369">
        <v>0</v>
      </c>
      <c r="G83" s="369">
        <v>0</v>
      </c>
      <c r="H83" s="369">
        <v>0</v>
      </c>
      <c r="I83" s="575">
        <v>0</v>
      </c>
      <c r="J83" s="369">
        <f t="shared" si="3"/>
        <v>0</v>
      </c>
      <c r="K83" s="608"/>
    </row>
    <row r="84" spans="1:12" hidden="1" x14ac:dyDescent="0.2">
      <c r="A84" s="391"/>
      <c r="B84" s="375" t="s">
        <v>206</v>
      </c>
      <c r="C84" s="369">
        <v>0</v>
      </c>
      <c r="D84" s="369">
        <v>0</v>
      </c>
      <c r="E84" s="369">
        <v>0</v>
      </c>
      <c r="F84" s="369">
        <v>0</v>
      </c>
      <c r="G84" s="369">
        <v>0</v>
      </c>
      <c r="H84" s="369">
        <v>0</v>
      </c>
      <c r="I84" s="575">
        <v>0</v>
      </c>
      <c r="J84" s="369">
        <f t="shared" si="3"/>
        <v>0</v>
      </c>
      <c r="K84" s="252"/>
    </row>
    <row r="85" spans="1:12" hidden="1" x14ac:dyDescent="0.2">
      <c r="A85" s="391"/>
      <c r="B85" s="375" t="s">
        <v>207</v>
      </c>
      <c r="C85" s="369">
        <v>0</v>
      </c>
      <c r="D85" s="369">
        <v>0</v>
      </c>
      <c r="E85" s="369">
        <v>0</v>
      </c>
      <c r="F85" s="369">
        <v>0</v>
      </c>
      <c r="G85" s="369">
        <v>0</v>
      </c>
      <c r="H85" s="369">
        <v>0</v>
      </c>
      <c r="I85" s="575">
        <v>0</v>
      </c>
      <c r="J85" s="369">
        <f t="shared" si="3"/>
        <v>0</v>
      </c>
      <c r="K85" s="252"/>
    </row>
    <row r="86" spans="1:12" ht="15" hidden="1" x14ac:dyDescent="0.25">
      <c r="A86" s="391"/>
      <c r="B86" s="375" t="s">
        <v>208</v>
      </c>
      <c r="C86" s="369">
        <v>0</v>
      </c>
      <c r="D86" s="369">
        <v>0</v>
      </c>
      <c r="E86" s="369">
        <v>0</v>
      </c>
      <c r="F86" s="369">
        <v>0</v>
      </c>
      <c r="G86" s="369">
        <v>0</v>
      </c>
      <c r="H86" s="369">
        <v>0</v>
      </c>
      <c r="I86" s="575">
        <v>0</v>
      </c>
      <c r="J86" s="369">
        <f t="shared" si="3"/>
        <v>0</v>
      </c>
      <c r="K86" s="608"/>
    </row>
    <row r="87" spans="1:12" ht="15" hidden="1" x14ac:dyDescent="0.25">
      <c r="A87" s="391"/>
      <c r="B87" s="375" t="s">
        <v>209</v>
      </c>
      <c r="C87" s="369">
        <v>0</v>
      </c>
      <c r="D87" s="369">
        <v>0</v>
      </c>
      <c r="E87" s="369">
        <v>0</v>
      </c>
      <c r="F87" s="369">
        <v>0</v>
      </c>
      <c r="G87" s="369">
        <v>0</v>
      </c>
      <c r="H87" s="369">
        <v>0</v>
      </c>
      <c r="I87" s="575">
        <v>0</v>
      </c>
      <c r="J87" s="369">
        <f t="shared" si="3"/>
        <v>0</v>
      </c>
      <c r="K87" s="608"/>
    </row>
    <row r="88" spans="1:12" ht="15" hidden="1" x14ac:dyDescent="0.25">
      <c r="A88" s="391"/>
      <c r="B88" s="375" t="s">
        <v>210</v>
      </c>
      <c r="C88" s="369">
        <v>0</v>
      </c>
      <c r="D88" s="369">
        <v>0</v>
      </c>
      <c r="E88" s="369">
        <v>0</v>
      </c>
      <c r="F88" s="369">
        <v>0</v>
      </c>
      <c r="G88" s="369">
        <v>0</v>
      </c>
      <c r="H88" s="369">
        <v>0</v>
      </c>
      <c r="I88" s="575">
        <v>0</v>
      </c>
      <c r="J88" s="369">
        <f t="shared" si="3"/>
        <v>0</v>
      </c>
      <c r="K88" s="608"/>
      <c r="L88" s="357"/>
    </row>
    <row r="89" spans="1:12" ht="15" hidden="1" x14ac:dyDescent="0.25">
      <c r="A89" s="391"/>
      <c r="B89" s="375" t="s">
        <v>211</v>
      </c>
      <c r="C89" s="369">
        <v>0</v>
      </c>
      <c r="D89" s="369">
        <v>0</v>
      </c>
      <c r="E89" s="369">
        <v>0</v>
      </c>
      <c r="F89" s="369">
        <v>0</v>
      </c>
      <c r="G89" s="369">
        <v>0</v>
      </c>
      <c r="H89" s="369">
        <v>0</v>
      </c>
      <c r="I89" s="575">
        <v>0</v>
      </c>
      <c r="J89" s="369">
        <f t="shared" si="3"/>
        <v>0</v>
      </c>
      <c r="K89" s="608"/>
      <c r="L89" s="357"/>
    </row>
    <row r="90" spans="1:12" ht="15" hidden="1" x14ac:dyDescent="0.25">
      <c r="A90" s="391"/>
      <c r="B90" s="375" t="s">
        <v>212</v>
      </c>
      <c r="C90" s="369">
        <v>0</v>
      </c>
      <c r="D90" s="369">
        <v>0</v>
      </c>
      <c r="E90" s="369">
        <v>0</v>
      </c>
      <c r="F90" s="369">
        <v>0</v>
      </c>
      <c r="G90" s="369">
        <v>0</v>
      </c>
      <c r="H90" s="369">
        <v>0</v>
      </c>
      <c r="I90" s="575">
        <v>0</v>
      </c>
      <c r="J90" s="369">
        <f t="shared" si="3"/>
        <v>0</v>
      </c>
      <c r="K90" s="608"/>
      <c r="L90" s="357"/>
    </row>
    <row r="91" spans="1:12" ht="15" hidden="1" x14ac:dyDescent="0.25">
      <c r="A91" s="391"/>
      <c r="B91" s="375" t="s">
        <v>213</v>
      </c>
      <c r="C91" s="369">
        <v>0</v>
      </c>
      <c r="D91" s="369">
        <v>0</v>
      </c>
      <c r="E91" s="369">
        <v>0</v>
      </c>
      <c r="F91" s="369">
        <v>0</v>
      </c>
      <c r="G91" s="369">
        <v>0</v>
      </c>
      <c r="H91" s="369">
        <v>0</v>
      </c>
      <c r="I91" s="575">
        <v>0</v>
      </c>
      <c r="J91" s="369">
        <f t="shared" si="3"/>
        <v>0</v>
      </c>
      <c r="K91" s="608"/>
      <c r="L91" s="357"/>
    </row>
    <row r="92" spans="1:12" x14ac:dyDescent="0.2">
      <c r="A92" s="391"/>
      <c r="B92" s="375" t="s">
        <v>214</v>
      </c>
      <c r="C92" s="369">
        <v>0</v>
      </c>
      <c r="D92" s="369">
        <v>0</v>
      </c>
      <c r="E92" s="369">
        <v>0</v>
      </c>
      <c r="F92" s="369">
        <v>0</v>
      </c>
      <c r="G92" s="369">
        <v>0</v>
      </c>
      <c r="H92" s="369">
        <f>407948-457948+419099</f>
        <v>369099</v>
      </c>
      <c r="I92" s="575">
        <f>1189297+413785+2996766</f>
        <v>4599848</v>
      </c>
      <c r="J92" s="369">
        <f t="shared" si="3"/>
        <v>4968947</v>
      </c>
      <c r="K92" s="252"/>
    </row>
    <row r="93" spans="1:12" hidden="1" x14ac:dyDescent="0.2">
      <c r="A93" s="391"/>
      <c r="B93" s="375" t="s">
        <v>215</v>
      </c>
      <c r="C93" s="369">
        <v>0</v>
      </c>
      <c r="D93" s="369">
        <v>0</v>
      </c>
      <c r="E93" s="369">
        <v>0</v>
      </c>
      <c r="F93" s="369">
        <v>0</v>
      </c>
      <c r="G93" s="369">
        <v>0</v>
      </c>
      <c r="H93" s="369">
        <v>0</v>
      </c>
      <c r="I93" s="575">
        <v>0</v>
      </c>
      <c r="J93" s="369">
        <f t="shared" si="3"/>
        <v>0</v>
      </c>
      <c r="K93" s="252"/>
    </row>
    <row r="94" spans="1:12" hidden="1" x14ac:dyDescent="0.2">
      <c r="A94" s="391"/>
      <c r="B94" s="375" t="s">
        <v>216</v>
      </c>
      <c r="C94" s="369">
        <v>0</v>
      </c>
      <c r="D94" s="369">
        <v>0</v>
      </c>
      <c r="E94" s="369">
        <v>0</v>
      </c>
      <c r="F94" s="369">
        <v>0</v>
      </c>
      <c r="G94" s="369">
        <v>0</v>
      </c>
      <c r="H94" s="369">
        <v>0</v>
      </c>
      <c r="I94" s="575">
        <v>0</v>
      </c>
      <c r="J94" s="369">
        <f t="shared" si="3"/>
        <v>0</v>
      </c>
      <c r="K94" s="252"/>
    </row>
    <row r="95" spans="1:12" hidden="1" x14ac:dyDescent="0.2">
      <c r="A95" s="391"/>
      <c r="B95" s="375" t="s">
        <v>217</v>
      </c>
      <c r="C95" s="369">
        <v>0</v>
      </c>
      <c r="D95" s="369">
        <v>0</v>
      </c>
      <c r="E95" s="369">
        <v>0</v>
      </c>
      <c r="F95" s="369">
        <v>0</v>
      </c>
      <c r="G95" s="369">
        <v>0</v>
      </c>
      <c r="H95" s="369">
        <v>0</v>
      </c>
      <c r="I95" s="575">
        <v>0</v>
      </c>
      <c r="J95" s="369">
        <f t="shared" si="3"/>
        <v>0</v>
      </c>
      <c r="K95" s="252"/>
    </row>
    <row r="96" spans="1:12" hidden="1" x14ac:dyDescent="0.2">
      <c r="A96" s="391"/>
      <c r="B96" s="375" t="s">
        <v>218</v>
      </c>
      <c r="C96" s="369">
        <v>0</v>
      </c>
      <c r="D96" s="369">
        <v>0</v>
      </c>
      <c r="E96" s="369">
        <v>0</v>
      </c>
      <c r="F96" s="369">
        <v>0</v>
      </c>
      <c r="G96" s="369">
        <v>0</v>
      </c>
      <c r="H96" s="369">
        <v>0</v>
      </c>
      <c r="I96" s="575">
        <v>0</v>
      </c>
      <c r="J96" s="369">
        <f t="shared" si="3"/>
        <v>0</v>
      </c>
      <c r="K96" s="252"/>
    </row>
    <row r="97" spans="1:11" hidden="1" x14ac:dyDescent="0.2">
      <c r="A97" s="391"/>
      <c r="B97" s="375" t="s">
        <v>219</v>
      </c>
      <c r="C97" s="369">
        <v>0</v>
      </c>
      <c r="D97" s="369">
        <v>0</v>
      </c>
      <c r="E97" s="369">
        <v>0</v>
      </c>
      <c r="F97" s="369">
        <v>0</v>
      </c>
      <c r="G97" s="369">
        <v>0</v>
      </c>
      <c r="H97" s="369">
        <v>0</v>
      </c>
      <c r="I97" s="575">
        <v>0</v>
      </c>
      <c r="J97" s="369">
        <f t="shared" si="3"/>
        <v>0</v>
      </c>
      <c r="K97" s="252"/>
    </row>
    <row r="98" spans="1:11" ht="15" hidden="1" x14ac:dyDescent="0.25">
      <c r="A98" s="609"/>
      <c r="B98" s="380" t="s">
        <v>220</v>
      </c>
      <c r="C98" s="369">
        <v>0</v>
      </c>
      <c r="D98" s="369">
        <v>0</v>
      </c>
      <c r="E98" s="369">
        <v>0</v>
      </c>
      <c r="F98" s="369">
        <v>0</v>
      </c>
      <c r="G98" s="369">
        <v>0</v>
      </c>
      <c r="H98" s="369">
        <v>0</v>
      </c>
      <c r="I98" s="575">
        <v>0</v>
      </c>
      <c r="J98" s="369">
        <f t="shared" si="3"/>
        <v>0</v>
      </c>
      <c r="K98" s="608"/>
    </row>
    <row r="99" spans="1:11" ht="15" hidden="1" x14ac:dyDescent="0.25">
      <c r="A99" s="609"/>
      <c r="B99" s="380" t="s">
        <v>221</v>
      </c>
      <c r="C99" s="369">
        <v>0</v>
      </c>
      <c r="D99" s="369">
        <v>0</v>
      </c>
      <c r="E99" s="369">
        <v>0</v>
      </c>
      <c r="F99" s="369">
        <v>0</v>
      </c>
      <c r="G99" s="369">
        <v>0</v>
      </c>
      <c r="H99" s="369">
        <v>0</v>
      </c>
      <c r="I99" s="575">
        <v>0</v>
      </c>
      <c r="J99" s="369">
        <f t="shared" si="3"/>
        <v>0</v>
      </c>
      <c r="K99" s="608"/>
    </row>
    <row r="100" spans="1:11" x14ac:dyDescent="0.2">
      <c r="A100" s="576" t="s">
        <v>10</v>
      </c>
      <c r="B100" s="577" t="s">
        <v>142</v>
      </c>
      <c r="C100" s="369">
        <v>2768132</v>
      </c>
      <c r="D100" s="369">
        <v>930709</v>
      </c>
      <c r="E100" s="369">
        <v>1330645</v>
      </c>
      <c r="F100" s="369">
        <v>0</v>
      </c>
      <c r="G100" s="369">
        <v>0</v>
      </c>
      <c r="H100" s="369">
        <v>0</v>
      </c>
      <c r="I100" s="575">
        <v>0</v>
      </c>
      <c r="J100" s="369">
        <f t="shared" si="3"/>
        <v>5029486</v>
      </c>
      <c r="K100" s="255"/>
    </row>
    <row r="101" spans="1:11" x14ac:dyDescent="0.2">
      <c r="A101" s="576" t="s">
        <v>10</v>
      </c>
      <c r="B101" s="577" t="s">
        <v>141</v>
      </c>
      <c r="C101" s="369">
        <v>5179383</v>
      </c>
      <c r="D101" s="369">
        <v>2242596</v>
      </c>
      <c r="E101" s="369">
        <v>1758486</v>
      </c>
      <c r="F101" s="369">
        <v>0</v>
      </c>
      <c r="G101" s="369">
        <v>0</v>
      </c>
      <c r="H101" s="369">
        <v>0</v>
      </c>
      <c r="I101" s="575">
        <v>0</v>
      </c>
      <c r="J101" s="369">
        <f t="shared" si="3"/>
        <v>9180465</v>
      </c>
      <c r="K101" s="255"/>
    </row>
    <row r="102" spans="1:11" hidden="1" x14ac:dyDescent="0.2">
      <c r="A102" s="576" t="s">
        <v>33</v>
      </c>
      <c r="B102" s="577" t="s">
        <v>222</v>
      </c>
      <c r="C102" s="369">
        <v>0</v>
      </c>
      <c r="D102" s="369">
        <v>0</v>
      </c>
      <c r="E102" s="369">
        <v>0</v>
      </c>
      <c r="F102" s="369">
        <v>0</v>
      </c>
      <c r="G102" s="369">
        <v>0</v>
      </c>
      <c r="H102" s="369">
        <v>0</v>
      </c>
      <c r="I102" s="575">
        <v>0</v>
      </c>
      <c r="J102" s="369">
        <f t="shared" si="3"/>
        <v>0</v>
      </c>
      <c r="K102" s="255"/>
    </row>
    <row r="103" spans="1:11" x14ac:dyDescent="0.2">
      <c r="A103" s="576" t="s">
        <v>10</v>
      </c>
      <c r="B103" s="577" t="s">
        <v>138</v>
      </c>
      <c r="C103" s="369">
        <v>868368</v>
      </c>
      <c r="D103" s="369">
        <v>405603</v>
      </c>
      <c r="E103" s="369">
        <v>565887</v>
      </c>
      <c r="F103" s="369">
        <v>0</v>
      </c>
      <c r="G103" s="369">
        <v>0</v>
      </c>
      <c r="H103" s="369">
        <v>0</v>
      </c>
      <c r="I103" s="575">
        <v>0</v>
      </c>
      <c r="J103" s="369">
        <f t="shared" si="3"/>
        <v>1839858</v>
      </c>
      <c r="K103" s="255"/>
    </row>
    <row r="104" spans="1:11" x14ac:dyDescent="0.2">
      <c r="A104" s="576" t="s">
        <v>10</v>
      </c>
      <c r="B104" s="577" t="s">
        <v>136</v>
      </c>
      <c r="C104" s="369">
        <f>74757353-D104</f>
        <v>74757353</v>
      </c>
      <c r="D104" s="369">
        <v>0</v>
      </c>
      <c r="E104" s="369">
        <f>77937164-SUM(C104:D104)</f>
        <v>3179811</v>
      </c>
      <c r="F104" s="369">
        <v>0</v>
      </c>
      <c r="G104" s="369">
        <v>0</v>
      </c>
      <c r="H104" s="369">
        <v>0</v>
      </c>
      <c r="I104" s="575">
        <v>0</v>
      </c>
      <c r="J104" s="369">
        <f t="shared" si="3"/>
        <v>77937164</v>
      </c>
      <c r="K104" s="255"/>
    </row>
    <row r="105" spans="1:11" hidden="1" x14ac:dyDescent="0.2">
      <c r="A105" s="610"/>
      <c r="B105" s="375" t="s">
        <v>223</v>
      </c>
      <c r="C105" s="369">
        <v>0</v>
      </c>
      <c r="D105" s="369">
        <v>0</v>
      </c>
      <c r="E105" s="369">
        <v>0</v>
      </c>
      <c r="F105" s="369">
        <v>0</v>
      </c>
      <c r="G105" s="369">
        <v>0</v>
      </c>
      <c r="H105" s="369">
        <v>0</v>
      </c>
      <c r="I105" s="575">
        <v>0</v>
      </c>
      <c r="J105" s="369">
        <f t="shared" si="3"/>
        <v>0</v>
      </c>
      <c r="K105" s="252"/>
    </row>
    <row r="106" spans="1:11" hidden="1" x14ac:dyDescent="0.2">
      <c r="A106" s="610"/>
      <c r="B106" s="375" t="s">
        <v>224</v>
      </c>
      <c r="C106" s="369">
        <v>0</v>
      </c>
      <c r="D106" s="369">
        <v>0</v>
      </c>
      <c r="E106" s="369">
        <v>0</v>
      </c>
      <c r="F106" s="369">
        <v>0</v>
      </c>
      <c r="G106" s="369">
        <v>0</v>
      </c>
      <c r="H106" s="369">
        <v>0</v>
      </c>
      <c r="I106" s="575">
        <v>0</v>
      </c>
      <c r="J106" s="369">
        <f t="shared" si="3"/>
        <v>0</v>
      </c>
      <c r="K106" s="252"/>
    </row>
    <row r="107" spans="1:11" hidden="1" x14ac:dyDescent="0.2">
      <c r="A107" s="610"/>
      <c r="B107" s="375" t="s">
        <v>225</v>
      </c>
      <c r="C107" s="369">
        <v>0</v>
      </c>
      <c r="D107" s="369">
        <v>0</v>
      </c>
      <c r="E107" s="369">
        <v>0</v>
      </c>
      <c r="F107" s="369">
        <v>0</v>
      </c>
      <c r="G107" s="369">
        <v>0</v>
      </c>
      <c r="H107" s="369">
        <v>0</v>
      </c>
      <c r="I107" s="575">
        <v>0</v>
      </c>
      <c r="J107" s="369">
        <f t="shared" si="3"/>
        <v>0</v>
      </c>
      <c r="K107" s="252"/>
    </row>
    <row r="108" spans="1:11" hidden="1" x14ac:dyDescent="0.2">
      <c r="A108" s="610"/>
      <c r="B108" s="375" t="s">
        <v>226</v>
      </c>
      <c r="C108" s="369">
        <v>0</v>
      </c>
      <c r="D108" s="369">
        <v>0</v>
      </c>
      <c r="E108" s="369">
        <v>0</v>
      </c>
      <c r="F108" s="369">
        <v>0</v>
      </c>
      <c r="G108" s="369">
        <v>0</v>
      </c>
      <c r="H108" s="369">
        <v>0</v>
      </c>
      <c r="I108" s="575">
        <v>0</v>
      </c>
      <c r="J108" s="369">
        <f t="shared" si="3"/>
        <v>0</v>
      </c>
      <c r="K108" s="252"/>
    </row>
    <row r="109" spans="1:11" ht="15" hidden="1" x14ac:dyDescent="0.25">
      <c r="A109" s="391"/>
      <c r="B109" s="375" t="s">
        <v>227</v>
      </c>
      <c r="C109" s="369">
        <v>0</v>
      </c>
      <c r="D109" s="369">
        <v>0</v>
      </c>
      <c r="E109" s="369">
        <v>0</v>
      </c>
      <c r="F109" s="369">
        <v>0</v>
      </c>
      <c r="G109" s="369">
        <v>0</v>
      </c>
      <c r="H109" s="369">
        <v>0</v>
      </c>
      <c r="I109" s="575">
        <v>0</v>
      </c>
      <c r="J109" s="369">
        <f t="shared" si="3"/>
        <v>0</v>
      </c>
      <c r="K109" s="608"/>
    </row>
    <row r="110" spans="1:11" ht="15" hidden="1" x14ac:dyDescent="0.25">
      <c r="A110" s="391"/>
      <c r="B110" s="375" t="s">
        <v>228</v>
      </c>
      <c r="C110" s="369">
        <v>0</v>
      </c>
      <c r="D110" s="369">
        <v>0</v>
      </c>
      <c r="E110" s="369">
        <v>0</v>
      </c>
      <c r="F110" s="369">
        <v>0</v>
      </c>
      <c r="G110" s="369">
        <v>0</v>
      </c>
      <c r="H110" s="369">
        <v>0</v>
      </c>
      <c r="I110" s="575">
        <v>0</v>
      </c>
      <c r="J110" s="369">
        <f t="shared" si="3"/>
        <v>0</v>
      </c>
      <c r="K110" s="608"/>
    </row>
    <row r="111" spans="1:11" ht="15" hidden="1" x14ac:dyDescent="0.25">
      <c r="A111" s="391"/>
      <c r="B111" s="375" t="s">
        <v>229</v>
      </c>
      <c r="C111" s="369">
        <v>0</v>
      </c>
      <c r="D111" s="369">
        <v>0</v>
      </c>
      <c r="E111" s="369">
        <v>0</v>
      </c>
      <c r="F111" s="369">
        <v>0</v>
      </c>
      <c r="G111" s="369">
        <v>0</v>
      </c>
      <c r="H111" s="369">
        <v>0</v>
      </c>
      <c r="I111" s="575">
        <v>0</v>
      </c>
      <c r="J111" s="369">
        <f t="shared" si="3"/>
        <v>0</v>
      </c>
      <c r="K111" s="608"/>
    </row>
    <row r="112" spans="1:11" ht="15" hidden="1" x14ac:dyDescent="0.25">
      <c r="A112" s="391"/>
      <c r="B112" s="375" t="s">
        <v>230</v>
      </c>
      <c r="C112" s="369">
        <v>0</v>
      </c>
      <c r="D112" s="369">
        <v>0</v>
      </c>
      <c r="E112" s="369">
        <v>0</v>
      </c>
      <c r="F112" s="369">
        <v>0</v>
      </c>
      <c r="G112" s="369">
        <v>0</v>
      </c>
      <c r="H112" s="369">
        <v>0</v>
      </c>
      <c r="I112" s="575">
        <v>0</v>
      </c>
      <c r="J112" s="369">
        <f t="shared" si="3"/>
        <v>0</v>
      </c>
      <c r="K112" s="608"/>
    </row>
    <row r="113" spans="1:11" ht="15" hidden="1" x14ac:dyDescent="0.25">
      <c r="A113" s="391"/>
      <c r="B113" s="375" t="s">
        <v>231</v>
      </c>
      <c r="C113" s="369">
        <v>0</v>
      </c>
      <c r="D113" s="369">
        <v>0</v>
      </c>
      <c r="E113" s="369">
        <v>0</v>
      </c>
      <c r="F113" s="369">
        <v>0</v>
      </c>
      <c r="G113" s="369">
        <v>0</v>
      </c>
      <c r="H113" s="369">
        <v>0</v>
      </c>
      <c r="I113" s="575">
        <v>0</v>
      </c>
      <c r="J113" s="369">
        <f t="shared" si="3"/>
        <v>0</v>
      </c>
      <c r="K113" s="608"/>
    </row>
    <row r="114" spans="1:11" ht="15" hidden="1" x14ac:dyDescent="0.25">
      <c r="A114" s="391"/>
      <c r="B114" s="375" t="s">
        <v>232</v>
      </c>
      <c r="C114" s="369">
        <v>0</v>
      </c>
      <c r="D114" s="369">
        <v>0</v>
      </c>
      <c r="E114" s="369">
        <v>0</v>
      </c>
      <c r="F114" s="369">
        <v>0</v>
      </c>
      <c r="G114" s="369">
        <v>0</v>
      </c>
      <c r="H114" s="369">
        <v>0</v>
      </c>
      <c r="I114" s="575">
        <v>0</v>
      </c>
      <c r="J114" s="369">
        <f t="shared" si="3"/>
        <v>0</v>
      </c>
      <c r="K114" s="608"/>
    </row>
    <row r="115" spans="1:11" ht="15" hidden="1" x14ac:dyDescent="0.25">
      <c r="A115" s="391"/>
      <c r="B115" s="375" t="s">
        <v>233</v>
      </c>
      <c r="C115" s="369">
        <v>0</v>
      </c>
      <c r="D115" s="369">
        <v>0</v>
      </c>
      <c r="E115" s="369">
        <v>0</v>
      </c>
      <c r="F115" s="369">
        <v>0</v>
      </c>
      <c r="G115" s="369">
        <v>0</v>
      </c>
      <c r="H115" s="369">
        <v>0</v>
      </c>
      <c r="I115" s="575">
        <v>0</v>
      </c>
      <c r="J115" s="369">
        <f t="shared" si="3"/>
        <v>0</v>
      </c>
      <c r="K115" s="608"/>
    </row>
    <row r="116" spans="1:11" ht="15" hidden="1" x14ac:dyDescent="0.25">
      <c r="A116" s="391"/>
      <c r="B116" s="375" t="s">
        <v>234</v>
      </c>
      <c r="C116" s="369">
        <v>0</v>
      </c>
      <c r="D116" s="369">
        <v>0</v>
      </c>
      <c r="E116" s="369">
        <v>0</v>
      </c>
      <c r="F116" s="369">
        <v>0</v>
      </c>
      <c r="G116" s="369">
        <v>0</v>
      </c>
      <c r="H116" s="369">
        <v>0</v>
      </c>
      <c r="I116" s="575">
        <v>0</v>
      </c>
      <c r="J116" s="369">
        <f t="shared" si="3"/>
        <v>0</v>
      </c>
      <c r="K116" s="608"/>
    </row>
    <row r="117" spans="1:11" ht="15" hidden="1" x14ac:dyDescent="0.25">
      <c r="A117" s="391"/>
      <c r="B117" s="375" t="s">
        <v>9</v>
      </c>
      <c r="C117" s="369">
        <v>0</v>
      </c>
      <c r="D117" s="369">
        <v>0</v>
      </c>
      <c r="E117" s="369">
        <v>0</v>
      </c>
      <c r="F117" s="369">
        <v>0</v>
      </c>
      <c r="G117" s="369">
        <v>0</v>
      </c>
      <c r="H117" s="369">
        <v>0</v>
      </c>
      <c r="I117" s="575">
        <v>0</v>
      </c>
      <c r="J117" s="369">
        <f t="shared" si="3"/>
        <v>0</v>
      </c>
      <c r="K117" s="608"/>
    </row>
    <row r="118" spans="1:11" ht="15" hidden="1" x14ac:dyDescent="0.25">
      <c r="A118" s="391"/>
      <c r="B118" s="375" t="s">
        <v>235</v>
      </c>
      <c r="C118" s="369">
        <v>0</v>
      </c>
      <c r="D118" s="369">
        <v>0</v>
      </c>
      <c r="E118" s="369">
        <v>0</v>
      </c>
      <c r="F118" s="369">
        <v>0</v>
      </c>
      <c r="G118" s="369">
        <v>0</v>
      </c>
      <c r="H118" s="369">
        <v>0</v>
      </c>
      <c r="I118" s="575">
        <v>0</v>
      </c>
      <c r="J118" s="369">
        <f t="shared" si="3"/>
        <v>0</v>
      </c>
      <c r="K118" s="608"/>
    </row>
    <row r="119" spans="1:11" ht="15" x14ac:dyDescent="0.25">
      <c r="A119" s="391"/>
      <c r="B119" s="375" t="s">
        <v>236</v>
      </c>
      <c r="C119" s="369">
        <v>4737391</v>
      </c>
      <c r="D119" s="369">
        <v>2039082</v>
      </c>
      <c r="E119" s="369">
        <v>4610566</v>
      </c>
      <c r="F119" s="369">
        <v>0</v>
      </c>
      <c r="G119" s="369">
        <v>0</v>
      </c>
      <c r="H119" s="369">
        <v>0</v>
      </c>
      <c r="I119" s="575">
        <v>15366199</v>
      </c>
      <c r="J119" s="369">
        <f t="shared" si="3"/>
        <v>26753238</v>
      </c>
      <c r="K119" s="608"/>
    </row>
    <row r="120" spans="1:11" ht="15" hidden="1" x14ac:dyDescent="0.25">
      <c r="A120" s="391"/>
      <c r="B120" s="375" t="s">
        <v>237</v>
      </c>
      <c r="C120" s="369">
        <v>0</v>
      </c>
      <c r="D120" s="369">
        <v>0</v>
      </c>
      <c r="E120" s="369">
        <v>0</v>
      </c>
      <c r="F120" s="369">
        <v>0</v>
      </c>
      <c r="G120" s="369">
        <v>0</v>
      </c>
      <c r="H120" s="369">
        <v>0</v>
      </c>
      <c r="I120" s="575">
        <v>0</v>
      </c>
      <c r="J120" s="369">
        <f t="shared" si="3"/>
        <v>0</v>
      </c>
      <c r="K120" s="608"/>
    </row>
    <row r="121" spans="1:11" ht="15" hidden="1" x14ac:dyDescent="0.25">
      <c r="A121" s="391"/>
      <c r="B121" s="375" t="s">
        <v>238</v>
      </c>
      <c r="C121" s="369">
        <v>0</v>
      </c>
      <c r="D121" s="369">
        <v>0</v>
      </c>
      <c r="E121" s="369">
        <v>0</v>
      </c>
      <c r="F121" s="369">
        <v>0</v>
      </c>
      <c r="G121" s="369">
        <v>0</v>
      </c>
      <c r="H121" s="369">
        <v>0</v>
      </c>
      <c r="I121" s="575">
        <v>0</v>
      </c>
      <c r="J121" s="369">
        <f t="shared" si="3"/>
        <v>0</v>
      </c>
      <c r="K121" s="608"/>
    </row>
    <row r="122" spans="1:11" ht="15" hidden="1" x14ac:dyDescent="0.25">
      <c r="A122" s="609"/>
      <c r="B122" s="380" t="s">
        <v>239</v>
      </c>
      <c r="C122" s="369">
        <v>0</v>
      </c>
      <c r="D122" s="369">
        <v>0</v>
      </c>
      <c r="E122" s="369">
        <v>0</v>
      </c>
      <c r="F122" s="369">
        <v>0</v>
      </c>
      <c r="G122" s="369">
        <v>0</v>
      </c>
      <c r="H122" s="369">
        <v>0</v>
      </c>
      <c r="I122" s="575">
        <v>0</v>
      </c>
      <c r="J122" s="369">
        <f t="shared" si="3"/>
        <v>0</v>
      </c>
      <c r="K122" s="608"/>
    </row>
    <row r="123" spans="1:11" ht="15" hidden="1" x14ac:dyDescent="0.25">
      <c r="A123" s="609"/>
      <c r="B123" s="380" t="s">
        <v>240</v>
      </c>
      <c r="C123" s="369">
        <v>0</v>
      </c>
      <c r="D123" s="369">
        <v>0</v>
      </c>
      <c r="E123" s="369">
        <v>0</v>
      </c>
      <c r="F123" s="369">
        <v>0</v>
      </c>
      <c r="G123" s="369">
        <v>0</v>
      </c>
      <c r="H123" s="369">
        <v>0</v>
      </c>
      <c r="I123" s="575">
        <v>0</v>
      </c>
      <c r="J123" s="369">
        <f t="shared" si="3"/>
        <v>0</v>
      </c>
      <c r="K123" s="608"/>
    </row>
    <row r="124" spans="1:11" ht="15" hidden="1" x14ac:dyDescent="0.25">
      <c r="A124" s="609"/>
      <c r="B124" s="380" t="s">
        <v>241</v>
      </c>
      <c r="C124" s="369">
        <v>0</v>
      </c>
      <c r="D124" s="369">
        <v>0</v>
      </c>
      <c r="E124" s="369">
        <v>0</v>
      </c>
      <c r="F124" s="369">
        <v>0</v>
      </c>
      <c r="G124" s="369">
        <v>0</v>
      </c>
      <c r="H124" s="369">
        <v>0</v>
      </c>
      <c r="I124" s="575">
        <v>0</v>
      </c>
      <c r="J124" s="369">
        <f t="shared" si="3"/>
        <v>0</v>
      </c>
      <c r="K124" s="608"/>
    </row>
    <row r="125" spans="1:11" ht="15" hidden="1" x14ac:dyDescent="0.25">
      <c r="A125" s="611"/>
      <c r="B125" s="603" t="s">
        <v>242</v>
      </c>
      <c r="C125" s="369">
        <v>0</v>
      </c>
      <c r="D125" s="369">
        <v>0</v>
      </c>
      <c r="E125" s="369">
        <v>0</v>
      </c>
      <c r="F125" s="369">
        <v>0</v>
      </c>
      <c r="G125" s="369">
        <v>0</v>
      </c>
      <c r="H125" s="369">
        <v>0</v>
      </c>
      <c r="I125" s="575">
        <v>0</v>
      </c>
      <c r="J125" s="369">
        <f t="shared" si="3"/>
        <v>0</v>
      </c>
      <c r="K125" s="608"/>
    </row>
    <row r="126" spans="1:11" ht="15" hidden="1" x14ac:dyDescent="0.25">
      <c r="A126" s="609"/>
      <c r="B126" s="380" t="s">
        <v>243</v>
      </c>
      <c r="C126" s="369">
        <v>0</v>
      </c>
      <c r="D126" s="369">
        <v>0</v>
      </c>
      <c r="E126" s="369">
        <v>0</v>
      </c>
      <c r="F126" s="369">
        <v>0</v>
      </c>
      <c r="G126" s="369">
        <v>0</v>
      </c>
      <c r="H126" s="369">
        <v>0</v>
      </c>
      <c r="I126" s="575">
        <v>0</v>
      </c>
      <c r="J126" s="369">
        <f t="shared" si="3"/>
        <v>0</v>
      </c>
      <c r="K126" s="608"/>
    </row>
    <row r="127" spans="1:11" ht="15" hidden="1" x14ac:dyDescent="0.25">
      <c r="A127" s="609"/>
      <c r="B127" s="380" t="s">
        <v>244</v>
      </c>
      <c r="C127" s="369">
        <v>0</v>
      </c>
      <c r="D127" s="369">
        <v>0</v>
      </c>
      <c r="E127" s="369">
        <v>0</v>
      </c>
      <c r="F127" s="369">
        <v>0</v>
      </c>
      <c r="G127" s="369">
        <v>0</v>
      </c>
      <c r="H127" s="369">
        <v>0</v>
      </c>
      <c r="I127" s="575">
        <v>0</v>
      </c>
      <c r="J127" s="369">
        <f t="shared" si="3"/>
        <v>0</v>
      </c>
      <c r="K127" s="608"/>
    </row>
    <row r="128" spans="1:11" ht="15" hidden="1" x14ac:dyDescent="0.25">
      <c r="A128" s="612" t="s">
        <v>245</v>
      </c>
      <c r="B128" s="613"/>
      <c r="C128" s="369"/>
      <c r="D128" s="369"/>
      <c r="E128" s="369"/>
      <c r="F128" s="369"/>
      <c r="G128" s="369"/>
      <c r="H128" s="369"/>
      <c r="I128" s="575"/>
      <c r="J128" s="369"/>
      <c r="K128" s="608"/>
    </row>
    <row r="129" spans="1:11" ht="15" x14ac:dyDescent="0.25">
      <c r="A129" s="391"/>
      <c r="B129" s="375" t="s">
        <v>246</v>
      </c>
      <c r="C129" s="369">
        <v>0</v>
      </c>
      <c r="D129" s="369">
        <v>0</v>
      </c>
      <c r="E129" s="369">
        <v>0</v>
      </c>
      <c r="F129" s="369">
        <v>0</v>
      </c>
      <c r="G129" s="369">
        <v>0</v>
      </c>
      <c r="H129" s="369">
        <v>-4300018.5</v>
      </c>
      <c r="I129" s="575">
        <f>27164822.5</f>
        <v>27164822.5</v>
      </c>
      <c r="J129" s="369">
        <f t="shared" si="3"/>
        <v>22864804</v>
      </c>
      <c r="K129" s="608"/>
    </row>
    <row r="130" spans="1:11" hidden="1" x14ac:dyDescent="0.2">
      <c r="A130" s="609"/>
      <c r="B130" s="380" t="s">
        <v>247</v>
      </c>
      <c r="C130" s="369">
        <v>0</v>
      </c>
      <c r="D130" s="369">
        <v>0</v>
      </c>
      <c r="E130" s="369">
        <v>0</v>
      </c>
      <c r="F130" s="369">
        <v>0</v>
      </c>
      <c r="G130" s="369">
        <v>0</v>
      </c>
      <c r="H130" s="369">
        <v>0</v>
      </c>
      <c r="I130" s="575">
        <v>0</v>
      </c>
      <c r="J130" s="369">
        <f t="shared" si="3"/>
        <v>0</v>
      </c>
      <c r="K130" s="252"/>
    </row>
    <row r="131" spans="1:11" hidden="1" x14ac:dyDescent="0.2">
      <c r="A131" s="391"/>
      <c r="B131" s="375" t="s">
        <v>248</v>
      </c>
      <c r="C131" s="369">
        <v>0</v>
      </c>
      <c r="D131" s="369">
        <v>0</v>
      </c>
      <c r="E131" s="369">
        <v>0</v>
      </c>
      <c r="F131" s="369">
        <v>0</v>
      </c>
      <c r="G131" s="369">
        <v>0</v>
      </c>
      <c r="H131" s="369">
        <v>0</v>
      </c>
      <c r="I131" s="575">
        <v>0</v>
      </c>
      <c r="J131" s="369">
        <f t="shared" si="3"/>
        <v>0</v>
      </c>
      <c r="K131" s="252"/>
    </row>
    <row r="132" spans="1:11" hidden="1" x14ac:dyDescent="0.2">
      <c r="A132" s="391"/>
      <c r="B132" s="375" t="s">
        <v>249</v>
      </c>
      <c r="C132" s="369">
        <v>0</v>
      </c>
      <c r="D132" s="369">
        <v>0</v>
      </c>
      <c r="E132" s="369">
        <v>0</v>
      </c>
      <c r="F132" s="369">
        <v>0</v>
      </c>
      <c r="G132" s="369">
        <v>0</v>
      </c>
      <c r="H132" s="369">
        <v>0</v>
      </c>
      <c r="I132" s="575">
        <v>0</v>
      </c>
      <c r="J132" s="369">
        <f t="shared" ref="J132:J147" si="4">SUM(C132:I132)</f>
        <v>0</v>
      </c>
      <c r="K132" s="252"/>
    </row>
    <row r="133" spans="1:11" x14ac:dyDescent="0.2">
      <c r="A133" s="391"/>
      <c r="B133" s="375" t="s">
        <v>250</v>
      </c>
      <c r="C133" s="369">
        <v>0</v>
      </c>
      <c r="D133" s="369">
        <v>0</v>
      </c>
      <c r="E133" s="369">
        <v>0</v>
      </c>
      <c r="F133" s="369">
        <v>0</v>
      </c>
      <c r="G133" s="369">
        <v>0</v>
      </c>
      <c r="H133" s="369">
        <v>49948544</v>
      </c>
      <c r="I133" s="575">
        <v>88692487</v>
      </c>
      <c r="J133" s="369">
        <f t="shared" si="4"/>
        <v>138641031</v>
      </c>
      <c r="K133" s="372"/>
    </row>
    <row r="134" spans="1:11" x14ac:dyDescent="0.2">
      <c r="A134" s="391"/>
      <c r="B134" s="375" t="s">
        <v>251</v>
      </c>
      <c r="C134" s="369">
        <v>0</v>
      </c>
      <c r="D134" s="369">
        <v>0</v>
      </c>
      <c r="E134" s="369">
        <v>0</v>
      </c>
      <c r="F134" s="369">
        <v>0</v>
      </c>
      <c r="G134" s="369">
        <v>0</v>
      </c>
      <c r="H134" s="369">
        <v>1251852</v>
      </c>
      <c r="I134" s="575">
        <v>3584133</v>
      </c>
      <c r="J134" s="369">
        <f t="shared" si="4"/>
        <v>4835985</v>
      </c>
      <c r="K134" s="372"/>
    </row>
    <row r="135" spans="1:11" x14ac:dyDescent="0.2">
      <c r="A135" s="391"/>
      <c r="B135" s="375" t="s">
        <v>252</v>
      </c>
      <c r="C135" s="369">
        <v>0</v>
      </c>
      <c r="D135" s="369">
        <v>0</v>
      </c>
      <c r="E135" s="369">
        <v>0</v>
      </c>
      <c r="F135" s="369">
        <v>0</v>
      </c>
      <c r="G135" s="369">
        <v>0</v>
      </c>
      <c r="H135" s="369">
        <v>560432</v>
      </c>
      <c r="I135" s="575">
        <v>3022623</v>
      </c>
      <c r="J135" s="369">
        <f t="shared" si="4"/>
        <v>3583055</v>
      </c>
      <c r="K135" s="372"/>
    </row>
    <row r="136" spans="1:11" hidden="1" x14ac:dyDescent="0.2">
      <c r="A136" s="391"/>
      <c r="B136" s="375" t="s">
        <v>253</v>
      </c>
      <c r="C136" s="369">
        <v>0</v>
      </c>
      <c r="D136" s="369">
        <v>0</v>
      </c>
      <c r="E136" s="369">
        <v>0</v>
      </c>
      <c r="F136" s="369">
        <v>0</v>
      </c>
      <c r="G136" s="369">
        <v>0</v>
      </c>
      <c r="H136" s="369">
        <v>0</v>
      </c>
      <c r="I136" s="575">
        <v>0</v>
      </c>
      <c r="J136" s="369">
        <f t="shared" si="4"/>
        <v>0</v>
      </c>
      <c r="K136" s="372"/>
    </row>
    <row r="137" spans="1:11" x14ac:dyDescent="0.2">
      <c r="A137" s="391"/>
      <c r="B137" s="375" t="s">
        <v>254</v>
      </c>
      <c r="C137" s="369">
        <v>0</v>
      </c>
      <c r="D137" s="369">
        <v>0</v>
      </c>
      <c r="E137" s="369">
        <v>0</v>
      </c>
      <c r="F137" s="369">
        <v>0</v>
      </c>
      <c r="G137" s="369">
        <v>0</v>
      </c>
      <c r="H137" s="369">
        <v>18286002</v>
      </c>
      <c r="I137" s="575">
        <v>5990019</v>
      </c>
      <c r="J137" s="369">
        <f t="shared" si="4"/>
        <v>24276021</v>
      </c>
      <c r="K137" s="372"/>
    </row>
    <row r="138" spans="1:11" hidden="1" x14ac:dyDescent="0.2">
      <c r="A138" s="391"/>
      <c r="B138" s="375" t="s">
        <v>255</v>
      </c>
      <c r="C138" s="369">
        <v>0</v>
      </c>
      <c r="D138" s="369">
        <v>0</v>
      </c>
      <c r="E138" s="369">
        <v>0</v>
      </c>
      <c r="F138" s="369">
        <v>0</v>
      </c>
      <c r="G138" s="369">
        <v>0</v>
      </c>
      <c r="H138" s="369">
        <v>0</v>
      </c>
      <c r="I138" s="575">
        <v>0</v>
      </c>
      <c r="J138" s="369">
        <f t="shared" si="4"/>
        <v>0</v>
      </c>
      <c r="K138" s="372"/>
    </row>
    <row r="139" spans="1:11" hidden="1" x14ac:dyDescent="0.2">
      <c r="A139" s="391"/>
      <c r="B139" s="375" t="s">
        <v>256</v>
      </c>
      <c r="C139" s="369">
        <v>0</v>
      </c>
      <c r="D139" s="369">
        <v>0</v>
      </c>
      <c r="E139" s="369">
        <v>0</v>
      </c>
      <c r="F139" s="369">
        <v>0</v>
      </c>
      <c r="G139" s="369">
        <v>0</v>
      </c>
      <c r="H139" s="369">
        <v>0</v>
      </c>
      <c r="I139" s="575">
        <v>0</v>
      </c>
      <c r="J139" s="369">
        <f t="shared" si="4"/>
        <v>0</v>
      </c>
      <c r="K139" s="372"/>
    </row>
    <row r="140" spans="1:11" hidden="1" x14ac:dyDescent="0.2">
      <c r="A140" s="391"/>
      <c r="B140" s="375" t="s">
        <v>257</v>
      </c>
      <c r="C140" s="369">
        <v>0</v>
      </c>
      <c r="D140" s="369">
        <v>0</v>
      </c>
      <c r="E140" s="369">
        <v>0</v>
      </c>
      <c r="F140" s="369">
        <v>0</v>
      </c>
      <c r="G140" s="369">
        <v>0</v>
      </c>
      <c r="H140" s="369">
        <v>0</v>
      </c>
      <c r="I140" s="575">
        <v>0</v>
      </c>
      <c r="J140" s="369">
        <f t="shared" si="4"/>
        <v>0</v>
      </c>
      <c r="K140" s="372"/>
    </row>
    <row r="141" spans="1:11" hidden="1" x14ac:dyDescent="0.2">
      <c r="A141" s="391"/>
      <c r="B141" s="375" t="s">
        <v>258</v>
      </c>
      <c r="C141" s="369">
        <v>0</v>
      </c>
      <c r="D141" s="369">
        <v>0</v>
      </c>
      <c r="E141" s="369">
        <v>0</v>
      </c>
      <c r="F141" s="369">
        <v>0</v>
      </c>
      <c r="G141" s="369">
        <v>0</v>
      </c>
      <c r="H141" s="369">
        <v>0</v>
      </c>
      <c r="I141" s="575">
        <v>0</v>
      </c>
      <c r="J141" s="369">
        <f t="shared" si="4"/>
        <v>0</v>
      </c>
      <c r="K141" s="372"/>
    </row>
    <row r="142" spans="1:11" hidden="1" x14ac:dyDescent="0.2">
      <c r="A142" s="391"/>
      <c r="B142" s="375" t="s">
        <v>259</v>
      </c>
      <c r="C142" s="369">
        <v>0</v>
      </c>
      <c r="D142" s="369">
        <v>0</v>
      </c>
      <c r="E142" s="369">
        <v>0</v>
      </c>
      <c r="F142" s="369">
        <v>0</v>
      </c>
      <c r="G142" s="369">
        <v>0</v>
      </c>
      <c r="H142" s="369">
        <v>0</v>
      </c>
      <c r="I142" s="575">
        <v>0</v>
      </c>
      <c r="J142" s="369">
        <f t="shared" si="4"/>
        <v>0</v>
      </c>
      <c r="K142" s="372"/>
    </row>
    <row r="143" spans="1:11" hidden="1" x14ac:dyDescent="0.2">
      <c r="A143" s="391"/>
      <c r="B143" s="375" t="s">
        <v>260</v>
      </c>
      <c r="C143" s="369">
        <v>0</v>
      </c>
      <c r="D143" s="369">
        <v>0</v>
      </c>
      <c r="E143" s="369">
        <v>0</v>
      </c>
      <c r="F143" s="369">
        <v>0</v>
      </c>
      <c r="G143" s="369">
        <v>0</v>
      </c>
      <c r="H143" s="369">
        <v>0</v>
      </c>
      <c r="I143" s="575">
        <v>0</v>
      </c>
      <c r="J143" s="369">
        <f t="shared" si="4"/>
        <v>0</v>
      </c>
      <c r="K143" s="372"/>
    </row>
    <row r="144" spans="1:11" ht="15.75" thickBot="1" x14ac:dyDescent="0.3">
      <c r="A144" s="614" t="s">
        <v>456</v>
      </c>
      <c r="B144" s="615"/>
      <c r="C144" s="616">
        <f>SUM(C55:C143)</f>
        <v>101658174.5</v>
      </c>
      <c r="D144" s="616">
        <f t="shared" ref="D144:H144" si="5">SUM(D55:D143)</f>
        <v>11338367.5</v>
      </c>
      <c r="E144" s="616">
        <f t="shared" si="5"/>
        <v>11445395</v>
      </c>
      <c r="F144" s="616">
        <f t="shared" si="5"/>
        <v>48310867</v>
      </c>
      <c r="G144" s="616">
        <f t="shared" si="5"/>
        <v>0</v>
      </c>
      <c r="H144" s="616">
        <f t="shared" si="5"/>
        <v>85863249.319999993</v>
      </c>
      <c r="I144" s="617">
        <f>SUM(I55:I143)</f>
        <v>694595695.71000004</v>
      </c>
      <c r="J144" s="618">
        <f t="shared" si="4"/>
        <v>953211749.02999997</v>
      </c>
      <c r="K144" s="619"/>
    </row>
    <row r="145" spans="1:11" ht="18.75" customHeight="1" thickBot="1" x14ac:dyDescent="0.3">
      <c r="A145" s="604" t="s">
        <v>457</v>
      </c>
      <c r="B145" s="605"/>
      <c r="C145" s="606">
        <f>C54+C144</f>
        <v>379149514.5</v>
      </c>
      <c r="D145" s="606">
        <f t="shared" ref="D145:I145" si="6">D54+D144</f>
        <v>133921414.5</v>
      </c>
      <c r="E145" s="606">
        <f t="shared" si="6"/>
        <v>56738423</v>
      </c>
      <c r="F145" s="606">
        <f t="shared" si="6"/>
        <v>93666373</v>
      </c>
      <c r="G145" s="606">
        <f t="shared" si="6"/>
        <v>1031242</v>
      </c>
      <c r="H145" s="606">
        <f t="shared" si="6"/>
        <v>208645693.31999999</v>
      </c>
      <c r="I145" s="607">
        <f t="shared" si="6"/>
        <v>773391176.71000004</v>
      </c>
      <c r="J145" s="597">
        <f t="shared" si="4"/>
        <v>1646543837.03</v>
      </c>
    </row>
    <row r="146" spans="1:11" ht="19.5" customHeight="1" x14ac:dyDescent="0.25">
      <c r="A146" s="620" t="s">
        <v>108</v>
      </c>
      <c r="B146" s="621" t="s">
        <v>458</v>
      </c>
      <c r="C146" s="622">
        <v>0</v>
      </c>
      <c r="D146" s="622">
        <v>0</v>
      </c>
      <c r="E146" s="622">
        <v>0</v>
      </c>
      <c r="F146" s="622">
        <f>-F145</f>
        <v>-93666373</v>
      </c>
      <c r="G146" s="622">
        <v>0</v>
      </c>
      <c r="H146" s="622">
        <v>0</v>
      </c>
      <c r="I146" s="623">
        <v>0</v>
      </c>
      <c r="J146" s="433">
        <f t="shared" si="4"/>
        <v>-93666373</v>
      </c>
    </row>
    <row r="147" spans="1:11" ht="21.75" customHeight="1" thickBot="1" x14ac:dyDescent="0.3">
      <c r="A147" s="624" t="s">
        <v>459</v>
      </c>
      <c r="B147" s="383"/>
      <c r="C147" s="625">
        <f>C145+C146</f>
        <v>379149514.5</v>
      </c>
      <c r="D147" s="625">
        <f t="shared" ref="D147:I147" si="7">D145+D146</f>
        <v>133921414.5</v>
      </c>
      <c r="E147" s="625">
        <f t="shared" si="7"/>
        <v>56738423</v>
      </c>
      <c r="F147" s="625">
        <f t="shared" si="7"/>
        <v>0</v>
      </c>
      <c r="G147" s="625">
        <f t="shared" si="7"/>
        <v>1031242</v>
      </c>
      <c r="H147" s="625">
        <f t="shared" si="7"/>
        <v>208645693.31999999</v>
      </c>
      <c r="I147" s="625">
        <f t="shared" si="7"/>
        <v>773391176.71000004</v>
      </c>
      <c r="J147" s="625">
        <f t="shared" si="4"/>
        <v>1552877464.03</v>
      </c>
    </row>
    <row r="148" spans="1:11" ht="15" thickTop="1" x14ac:dyDescent="0.2">
      <c r="A148" s="626"/>
      <c r="B148" s="476"/>
      <c r="C148" s="627"/>
      <c r="D148" s="627"/>
      <c r="E148" s="627"/>
      <c r="F148" s="627"/>
      <c r="G148" s="627"/>
      <c r="H148" s="627"/>
      <c r="I148" s="627"/>
      <c r="J148" s="627">
        <v>1552877464.03</v>
      </c>
      <c r="K148" s="340" t="s">
        <v>800</v>
      </c>
    </row>
    <row r="149" spans="1:11" x14ac:dyDescent="0.2">
      <c r="A149" s="628"/>
      <c r="B149" s="477" t="str">
        <f>'[16]PCFP - All Revenue AA-1 R'!C85</f>
        <v>Washoe County School District</v>
      </c>
      <c r="C149" s="627" t="s">
        <v>428</v>
      </c>
      <c r="D149" s="627"/>
      <c r="E149" s="629"/>
      <c r="F149" s="629"/>
      <c r="G149" s="629"/>
      <c r="H149" s="627"/>
      <c r="I149" s="627"/>
      <c r="J149" s="627">
        <f>J147-J148</f>
        <v>0</v>
      </c>
      <c r="K149" s="340" t="s">
        <v>132</v>
      </c>
    </row>
    <row r="150" spans="1:11" x14ac:dyDescent="0.2">
      <c r="A150" s="630"/>
      <c r="B150" s="479" t="s">
        <v>460</v>
      </c>
      <c r="C150" s="627" t="s">
        <v>430</v>
      </c>
      <c r="D150" s="627"/>
      <c r="E150" s="627"/>
      <c r="F150" s="627"/>
      <c r="G150" s="627"/>
      <c r="H150" s="627"/>
      <c r="J150" s="560" t="str">
        <f>"Budget Fiscal Year "&amp;TEXT('[16]Form 1'!$C$136, "mm/dd/yy")</f>
        <v>Budget Fiscal Year 2019-2020</v>
      </c>
    </row>
    <row r="151" spans="1:11" x14ac:dyDescent="0.2">
      <c r="J151" s="633" t="s">
        <v>461</v>
      </c>
    </row>
    <row r="155" spans="1:11" x14ac:dyDescent="0.2">
      <c r="H155" s="633"/>
      <c r="I155" s="633"/>
      <c r="J155" s="477"/>
    </row>
  </sheetData>
  <pageMargins left="0.55000000000000004" right="0" top="0.5" bottom="0.25" header="0.5" footer="0"/>
  <pageSetup scale="65" fitToHeight="3" orientation="landscape" r:id="rId1"/>
  <headerFooter alignWithMargins="0">
    <oddFooter>&amp;C&amp;8FORM 4405LGF
Last Revised &amp;D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71A18-AB15-4C37-9E23-25DDD1FAE6CE}">
  <dimension ref="A2:I19"/>
  <sheetViews>
    <sheetView showGridLines="0" workbookViewId="0">
      <selection activeCell="F32" sqref="F32"/>
    </sheetView>
  </sheetViews>
  <sheetFormatPr defaultColWidth="8.85546875" defaultRowHeight="12.75" x14ac:dyDescent="0.2"/>
  <sheetData>
    <row r="2" spans="1:9" ht="18" x14ac:dyDescent="0.25">
      <c r="A2" s="6" t="s">
        <v>801</v>
      </c>
      <c r="B2" s="2"/>
    </row>
    <row r="3" spans="1:9" x14ac:dyDescent="0.2">
      <c r="A3" s="2"/>
      <c r="B3" s="2"/>
    </row>
    <row r="4" spans="1:9" ht="15.75" x14ac:dyDescent="0.25">
      <c r="A4" s="5" t="s">
        <v>111</v>
      </c>
      <c r="B4" s="2"/>
    </row>
    <row r="5" spans="1:9" ht="15.75" x14ac:dyDescent="0.25">
      <c r="A5" s="5"/>
      <c r="B5" s="2"/>
    </row>
    <row r="6" spans="1:9" ht="15" x14ac:dyDescent="0.2">
      <c r="A6" s="7"/>
      <c r="B6" s="3" t="s">
        <v>112</v>
      </c>
      <c r="I6" s="3"/>
    </row>
    <row r="7" spans="1:9" x14ac:dyDescent="0.2">
      <c r="B7" s="3" t="s">
        <v>113</v>
      </c>
    </row>
    <row r="9" spans="1:9" x14ac:dyDescent="0.2">
      <c r="A9" s="2" t="s">
        <v>114</v>
      </c>
    </row>
    <row r="11" spans="1:9" x14ac:dyDescent="0.2">
      <c r="B11" s="3" t="s">
        <v>115</v>
      </c>
    </row>
    <row r="13" spans="1:9" x14ac:dyDescent="0.2">
      <c r="B13" s="3" t="s">
        <v>87</v>
      </c>
    </row>
    <row r="15" spans="1:9" x14ac:dyDescent="0.2">
      <c r="B15" s="3" t="s">
        <v>116</v>
      </c>
    </row>
    <row r="17" spans="2:2" x14ac:dyDescent="0.2">
      <c r="B17" s="3" t="s">
        <v>89</v>
      </c>
    </row>
    <row r="19" spans="2:2" x14ac:dyDescent="0.2">
      <c r="B19" s="3" t="s">
        <v>463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BADA-ADB7-4D90-B7A9-F164C2DF2979}">
  <dimension ref="A1:G162"/>
  <sheetViews>
    <sheetView showGridLines="0" zoomScaleNormal="100" workbookViewId="0">
      <selection activeCell="H165" sqref="H165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6.28515625" style="12" bestFit="1" customWidth="1"/>
    <col min="4" max="4" width="15.28515625" style="12" bestFit="1" customWidth="1"/>
    <col min="5" max="5" width="19" bestFit="1" customWidth="1"/>
    <col min="6" max="6" width="16.7109375" bestFit="1" customWidth="1"/>
    <col min="7" max="7" width="16.5703125" bestFit="1" customWidth="1"/>
  </cols>
  <sheetData>
    <row r="1" spans="1:5" s="8" customFormat="1" ht="18" x14ac:dyDescent="0.25">
      <c r="A1" s="6"/>
      <c r="B1" s="9" t="s">
        <v>261</v>
      </c>
      <c r="C1" s="535" t="s">
        <v>802</v>
      </c>
      <c r="D1" s="10"/>
    </row>
    <row r="3" spans="1:5" s="15" customFormat="1" ht="38.25" x14ac:dyDescent="0.2">
      <c r="A3" s="13"/>
      <c r="B3" s="13" t="s">
        <v>120</v>
      </c>
      <c r="C3" s="14" t="s">
        <v>545</v>
      </c>
      <c r="D3" s="14" t="s">
        <v>546</v>
      </c>
      <c r="E3" s="13" t="s">
        <v>803</v>
      </c>
    </row>
    <row r="4" spans="1:5" x14ac:dyDescent="0.2">
      <c r="B4" s="3"/>
    </row>
    <row r="5" spans="1:5" x14ac:dyDescent="0.2">
      <c r="B5" s="16" t="s">
        <v>124</v>
      </c>
      <c r="C5" s="12">
        <f>'19_20 District Budget Summ-17'!O36</f>
        <v>9844530</v>
      </c>
      <c r="D5" s="12">
        <f>SUM('PCFP - All Revenue AA-1 R-17'!F33,'PCFP - All Revenue AA-1 R-17'!H33)</f>
        <v>1780542.5</v>
      </c>
      <c r="E5" s="17">
        <f>D5-C5</f>
        <v>-8063987.5</v>
      </c>
    </row>
    <row r="6" spans="1:5" x14ac:dyDescent="0.2">
      <c r="E6" s="17"/>
    </row>
    <row r="7" spans="1:5" x14ac:dyDescent="0.2">
      <c r="B7" s="16" t="s">
        <v>125</v>
      </c>
      <c r="C7" s="12">
        <f>'19_20 District Budget Summ-17'!O49</f>
        <v>9419423</v>
      </c>
      <c r="D7" s="12">
        <f>SUM('PCFP - All Revenue AA-1 R-17'!F49,'PCFP - All Revenue AA-1 R-17'!H49)</f>
        <v>20876189.670000002</v>
      </c>
      <c r="E7" s="17">
        <f>D7-C7</f>
        <v>11456766.670000002</v>
      </c>
    </row>
    <row r="8" spans="1:5" x14ac:dyDescent="0.2">
      <c r="E8" s="17"/>
    </row>
    <row r="9" spans="1:5" x14ac:dyDescent="0.2">
      <c r="B9" s="16" t="s">
        <v>126</v>
      </c>
      <c r="C9" s="12">
        <f>'19_20 District Budget Summ-17'!O63</f>
        <v>2016281</v>
      </c>
      <c r="D9" s="12">
        <f>SUM('PCFP - All Revenue AA-1 R-17'!F58,'PCFP - All Revenue AA-1 R-17'!H58)</f>
        <v>2561987.09</v>
      </c>
      <c r="E9" s="17">
        <f>D9-C9</f>
        <v>545706.08999999985</v>
      </c>
    </row>
    <row r="10" spans="1:5" x14ac:dyDescent="0.2">
      <c r="E10" s="17"/>
    </row>
    <row r="11" spans="1:5" x14ac:dyDescent="0.2">
      <c r="B11" s="16" t="s">
        <v>127</v>
      </c>
      <c r="C11" s="12">
        <f>'19_20 District Budget Summ-17'!O70</f>
        <v>-79</v>
      </c>
      <c r="D11" s="12">
        <f>SUM('PCFP - All Revenue AA-1 R-17'!F68,'PCFP - All Revenue AA-1 R-17'!H68)</f>
        <v>1227000</v>
      </c>
      <c r="E11" s="17">
        <f>D11-C11</f>
        <v>1227079</v>
      </c>
    </row>
    <row r="12" spans="1:5" x14ac:dyDescent="0.2">
      <c r="E12" s="17"/>
    </row>
    <row r="13" spans="1:5" s="2" customFormat="1" x14ac:dyDescent="0.2">
      <c r="B13" s="18" t="s">
        <v>128</v>
      </c>
      <c r="C13" s="19">
        <f t="shared" ref="C13" si="0">SUM(C5:C12)</f>
        <v>21280155</v>
      </c>
      <c r="D13" s="19">
        <f>SUM(D5:D12)</f>
        <v>26445719.260000002</v>
      </c>
      <c r="E13" s="20">
        <f>D13-C13</f>
        <v>5165564.2600000016</v>
      </c>
    </row>
    <row r="15" spans="1:5" x14ac:dyDescent="0.2">
      <c r="B15" s="16" t="s">
        <v>129</v>
      </c>
      <c r="C15" s="12">
        <f>'19_20 District Budget Summ-17'!O81</f>
        <v>4814804</v>
      </c>
      <c r="D15" s="12">
        <f>SUM('PCFP - All Revenue AA-1 R-17'!F72,'PCFP - All Revenue AA-1 R-17'!H72)</f>
        <v>6419048.0600000005</v>
      </c>
      <c r="E15" s="21">
        <f>D15-C15</f>
        <v>1604244.0600000005</v>
      </c>
    </row>
    <row r="17" spans="1:7" x14ac:dyDescent="0.2">
      <c r="A17" s="22"/>
      <c r="B17" s="23" t="s">
        <v>306</v>
      </c>
      <c r="C17" s="24">
        <f t="shared" ref="C17" si="1">SUM(C13:C15)</f>
        <v>26094959</v>
      </c>
      <c r="D17" s="24">
        <f>SUM(D13:D15)</f>
        <v>32864767.32</v>
      </c>
      <c r="E17" s="25">
        <f>D17-C17</f>
        <v>6769808.3200000003</v>
      </c>
      <c r="F17" s="26"/>
      <c r="G17" s="17"/>
    </row>
    <row r="18" spans="1:7" s="2" customFormat="1" x14ac:dyDescent="0.2">
      <c r="A18" s="27"/>
      <c r="B18" s="28" t="s">
        <v>131</v>
      </c>
      <c r="C18" s="285">
        <f>SUM(C21,C38,C70,C72)</f>
        <v>26094959</v>
      </c>
      <c r="D18" s="285">
        <f>SUM(D21,D38,D70,D72)</f>
        <v>29793704.859999999</v>
      </c>
      <c r="E18" s="29">
        <f>D18-C18</f>
        <v>3698745.8599999994</v>
      </c>
    </row>
    <row r="19" spans="1:7" x14ac:dyDescent="0.2">
      <c r="A19" s="30"/>
      <c r="B19" s="286" t="s">
        <v>132</v>
      </c>
      <c r="C19" s="909">
        <f t="shared" ref="C19" si="2">C17-C18</f>
        <v>0</v>
      </c>
      <c r="D19" s="909">
        <f>D17-D18</f>
        <v>3071062.4600000009</v>
      </c>
      <c r="E19" s="29">
        <f>D19-C19</f>
        <v>3071062.4600000009</v>
      </c>
    </row>
    <row r="21" spans="1:7" x14ac:dyDescent="0.2">
      <c r="B21" s="2" t="s">
        <v>307</v>
      </c>
      <c r="C21" s="12">
        <f>SUM(C22:C36)</f>
        <v>9035168.75</v>
      </c>
      <c r="D21" s="12">
        <f>SUM(D22:D36)</f>
        <v>5046896</v>
      </c>
    </row>
    <row r="22" spans="1:7" hidden="1" x14ac:dyDescent="0.2">
      <c r="A22" s="2">
        <v>100</v>
      </c>
      <c r="B22" t="s">
        <v>134</v>
      </c>
      <c r="C22" s="12">
        <f>'19_20 District Budget Summ-17'!O88</f>
        <v>5683210.25</v>
      </c>
      <c r="D22" s="12">
        <f>SUM('PCFP-All Expense AA-1 Modi-17'!J3)</f>
        <v>4451744</v>
      </c>
      <c r="E22" s="12"/>
    </row>
    <row r="23" spans="1:7" hidden="1" x14ac:dyDescent="0.2">
      <c r="A23" s="2">
        <v>200</v>
      </c>
      <c r="B23" t="s">
        <v>135</v>
      </c>
      <c r="C23" s="12">
        <f>'19_20 District Budget Summ-17'!O89</f>
        <v>1642588.25</v>
      </c>
      <c r="D23" s="12">
        <f>SUM('PCFP-All Expense AA-1 Modi-17'!J4)</f>
        <v>0</v>
      </c>
      <c r="E23" s="12"/>
    </row>
    <row r="24" spans="1:7" hidden="1" x14ac:dyDescent="0.2">
      <c r="A24" s="2" t="s">
        <v>10</v>
      </c>
      <c r="B24" t="s">
        <v>136</v>
      </c>
      <c r="C24" s="12">
        <f>'19_20 District Budget Summ-17'!O90</f>
        <v>0</v>
      </c>
      <c r="D24" s="12">
        <f>SUM('PCFP-All Expense AA-1 Modi-17'!J5)</f>
        <v>0</v>
      </c>
      <c r="E24" s="12"/>
    </row>
    <row r="25" spans="1:7" hidden="1" x14ac:dyDescent="0.2">
      <c r="A25" s="2">
        <v>270</v>
      </c>
      <c r="B25" t="s">
        <v>137</v>
      </c>
      <c r="C25" s="12">
        <f>'19_20 District Budget Summ-17'!O91</f>
        <v>0</v>
      </c>
      <c r="D25" s="12">
        <f>SUM('PCFP-All Expense AA-1 Modi-17'!J6)</f>
        <v>0</v>
      </c>
      <c r="E25" s="12"/>
    </row>
    <row r="26" spans="1:7" hidden="1" x14ac:dyDescent="0.2">
      <c r="A26" s="2" t="s">
        <v>10</v>
      </c>
      <c r="B26" t="s">
        <v>138</v>
      </c>
      <c r="C26" s="12">
        <f>'19_20 District Budget Summ-17'!O92</f>
        <v>0</v>
      </c>
      <c r="D26" s="12">
        <f>SUM('PCFP-All Expense AA-1 Modi-17'!J7)</f>
        <v>0</v>
      </c>
      <c r="E26" s="12"/>
    </row>
    <row r="27" spans="1:7" hidden="1" x14ac:dyDescent="0.2">
      <c r="A27" s="2">
        <v>300</v>
      </c>
      <c r="B27" t="s">
        <v>139</v>
      </c>
      <c r="C27" s="12">
        <f>'19_20 District Budget Summ-17'!O93</f>
        <v>594569.25</v>
      </c>
      <c r="D27" s="12">
        <f>SUM('PCFP-All Expense AA-1 Modi-17'!J8)</f>
        <v>235658</v>
      </c>
      <c r="E27" s="12"/>
    </row>
    <row r="28" spans="1:7" hidden="1" x14ac:dyDescent="0.2">
      <c r="A28" s="2">
        <v>400</v>
      </c>
      <c r="B28" t="s">
        <v>140</v>
      </c>
      <c r="C28" s="12">
        <f>'19_20 District Budget Summ-17'!O94</f>
        <v>0</v>
      </c>
      <c r="D28" s="12">
        <f>SUM('PCFP-All Expense AA-1 Modi-17'!J9)</f>
        <v>0</v>
      </c>
      <c r="E28" s="12"/>
    </row>
    <row r="29" spans="1:7" hidden="1" x14ac:dyDescent="0.2">
      <c r="A29" s="2" t="s">
        <v>10</v>
      </c>
      <c r="B29" t="s">
        <v>141</v>
      </c>
      <c r="C29" s="12">
        <f>'19_20 District Budget Summ-17'!O95</f>
        <v>0</v>
      </c>
      <c r="D29" s="12">
        <f>SUM('PCFP-All Expense AA-1 Modi-17'!J10)</f>
        <v>0</v>
      </c>
      <c r="E29" s="12"/>
    </row>
    <row r="30" spans="1:7" hidden="1" x14ac:dyDescent="0.2">
      <c r="A30" s="2" t="s">
        <v>10</v>
      </c>
      <c r="B30" t="s">
        <v>142</v>
      </c>
      <c r="C30" s="12">
        <f>'19_20 District Budget Summ-17'!O96</f>
        <v>0</v>
      </c>
      <c r="D30" s="12">
        <f>SUM('PCFP-All Expense AA-1 Modi-17'!J11)</f>
        <v>0</v>
      </c>
      <c r="E30" s="12"/>
    </row>
    <row r="31" spans="1:7" hidden="1" x14ac:dyDescent="0.2">
      <c r="A31" s="2">
        <v>440</v>
      </c>
      <c r="B31" t="s">
        <v>143</v>
      </c>
      <c r="C31" s="12">
        <f>'19_20 District Budget Summ-17'!O98</f>
        <v>0</v>
      </c>
      <c r="D31" s="12">
        <f>SUM('PCFP-All Expense AA-1 Modi-17'!J12)</f>
        <v>0</v>
      </c>
      <c r="E31" s="12"/>
    </row>
    <row r="32" spans="1:7" hidden="1" x14ac:dyDescent="0.2">
      <c r="A32" s="2">
        <v>500</v>
      </c>
      <c r="B32" t="s">
        <v>144</v>
      </c>
      <c r="C32" s="12">
        <f>'19_20 District Budget Summ-17'!O99</f>
        <v>0</v>
      </c>
      <c r="D32" s="12">
        <f>SUM('PCFP-All Expense AA-1 Modi-17'!J13)</f>
        <v>0</v>
      </c>
      <c r="E32" s="12"/>
    </row>
    <row r="33" spans="1:5" hidden="1" x14ac:dyDescent="0.2">
      <c r="A33" s="2">
        <v>600</v>
      </c>
      <c r="B33" t="s">
        <v>145</v>
      </c>
      <c r="C33" s="12">
        <f>'19_20 District Budget Summ-17'!O100</f>
        <v>698495</v>
      </c>
      <c r="D33" s="12">
        <f>SUM('PCFP-All Expense AA-1 Modi-17'!J14)</f>
        <v>0</v>
      </c>
      <c r="E33" s="12"/>
    </row>
    <row r="34" spans="1:5" hidden="1" x14ac:dyDescent="0.2">
      <c r="A34" s="2">
        <v>800</v>
      </c>
      <c r="B34" t="s">
        <v>146</v>
      </c>
      <c r="C34" s="12">
        <f>'19_20 District Budget Summ-17'!O101</f>
        <v>0</v>
      </c>
      <c r="D34" s="12">
        <f>SUM('PCFP-All Expense AA-1 Modi-17'!J15)</f>
        <v>0</v>
      </c>
      <c r="E34" s="12"/>
    </row>
    <row r="35" spans="1:5" hidden="1" x14ac:dyDescent="0.2">
      <c r="A35" s="2">
        <v>910</v>
      </c>
      <c r="B35" t="s">
        <v>147</v>
      </c>
      <c r="C35" s="12">
        <f>'19_20 District Budget Summ-17'!O102</f>
        <v>114991</v>
      </c>
      <c r="D35" s="12">
        <f>SUM('PCFP-All Expense AA-1 Modi-17'!J16)</f>
        <v>105666</v>
      </c>
      <c r="E35" s="12"/>
    </row>
    <row r="36" spans="1:5" hidden="1" x14ac:dyDescent="0.2">
      <c r="A36" s="2">
        <v>920</v>
      </c>
      <c r="B36" t="s">
        <v>148</v>
      </c>
      <c r="C36" s="12">
        <f>'19_20 District Budget Summ-17'!O103</f>
        <v>301315</v>
      </c>
      <c r="D36" s="12">
        <f>SUM('PCFP-All Expense AA-1 Modi-17'!J17)</f>
        <v>253828</v>
      </c>
      <c r="E36" s="12"/>
    </row>
    <row r="37" spans="1:5" x14ac:dyDescent="0.2">
      <c r="E37" s="12"/>
    </row>
    <row r="38" spans="1:5" x14ac:dyDescent="0.2">
      <c r="A38" s="2" t="s">
        <v>149</v>
      </c>
      <c r="B38" s="2" t="s">
        <v>150</v>
      </c>
      <c r="C38" s="12">
        <f>SUM(C39:C68)</f>
        <v>18529730.25</v>
      </c>
      <c r="D38" s="12">
        <f>SUM(D39:D68)</f>
        <v>12767258</v>
      </c>
      <c r="E38" s="12"/>
    </row>
    <row r="39" spans="1:5" hidden="1" x14ac:dyDescent="0.2">
      <c r="A39" s="2">
        <v>2100</v>
      </c>
      <c r="B39" t="s">
        <v>151</v>
      </c>
      <c r="C39" s="12">
        <f>'19_20 District Budget Summ-17'!O106</f>
        <v>1034772.75</v>
      </c>
      <c r="D39" s="12">
        <f>'PCFP-All Expense AA-1 Modi-17'!J21</f>
        <v>160820</v>
      </c>
      <c r="E39" s="12"/>
    </row>
    <row r="40" spans="1:5" hidden="1" x14ac:dyDescent="0.2">
      <c r="A40" s="2">
        <v>2200</v>
      </c>
      <c r="B40" t="s">
        <v>152</v>
      </c>
      <c r="C40" s="12">
        <f>'19_20 District Budget Summ-17'!O107</f>
        <v>803800.75</v>
      </c>
      <c r="D40" s="12">
        <f>'PCFP-All Expense AA-1 Modi-17'!J22</f>
        <v>7010</v>
      </c>
      <c r="E40" s="12"/>
    </row>
    <row r="41" spans="1:5" hidden="1" x14ac:dyDescent="0.2">
      <c r="A41" s="2">
        <v>2300</v>
      </c>
      <c r="B41" t="s">
        <v>153</v>
      </c>
      <c r="C41" s="12">
        <f>'19_20 District Budget Summ-17'!O108</f>
        <v>807317.25</v>
      </c>
      <c r="D41" s="12">
        <f>'PCFP-All Expense AA-1 Modi-17'!J23</f>
        <v>470429</v>
      </c>
      <c r="E41" s="12"/>
    </row>
    <row r="42" spans="1:5" hidden="1" x14ac:dyDescent="0.2">
      <c r="A42" s="2">
        <v>2400</v>
      </c>
      <c r="B42" t="s">
        <v>154</v>
      </c>
      <c r="C42" s="12">
        <f>'19_20 District Budget Summ-17'!O109</f>
        <v>1601364.25</v>
      </c>
      <c r="D42" s="12">
        <f>'PCFP-All Expense AA-1 Modi-17'!J24</f>
        <v>1348428</v>
      </c>
      <c r="E42" s="12"/>
    </row>
    <row r="43" spans="1:5" hidden="1" x14ac:dyDescent="0.2">
      <c r="A43" s="2">
        <v>2500</v>
      </c>
      <c r="B43" t="s">
        <v>155</v>
      </c>
      <c r="C43" s="12">
        <f>'19_20 District Budget Summ-17'!O110</f>
        <v>1338573</v>
      </c>
      <c r="D43" s="12">
        <f>'PCFP-All Expense AA-1 Modi-17'!J25</f>
        <v>1148389</v>
      </c>
      <c r="E43" s="12"/>
    </row>
    <row r="44" spans="1:5" hidden="1" x14ac:dyDescent="0.2">
      <c r="A44" s="2">
        <v>2600</v>
      </c>
      <c r="B44" t="s">
        <v>156</v>
      </c>
      <c r="C44" s="12">
        <f>'19_20 District Budget Summ-17'!O111</f>
        <v>2812616</v>
      </c>
      <c r="D44" s="12">
        <f>'PCFP-All Expense AA-1 Modi-17'!J26</f>
        <v>2217126</v>
      </c>
      <c r="E44" s="12"/>
    </row>
    <row r="45" spans="1:5" hidden="1" x14ac:dyDescent="0.2">
      <c r="A45" s="2">
        <v>2700</v>
      </c>
      <c r="B45" t="s">
        <v>157</v>
      </c>
      <c r="C45" s="12">
        <f>'19_20 District Budget Summ-17'!O112</f>
        <v>1717920</v>
      </c>
      <c r="D45" s="12">
        <f>'PCFP-All Expense AA-1 Modi-17'!J27</f>
        <v>1429802</v>
      </c>
      <c r="E45" s="12"/>
    </row>
    <row r="46" spans="1:5" hidden="1" x14ac:dyDescent="0.2">
      <c r="A46" s="2">
        <v>2900</v>
      </c>
      <c r="B46" t="s">
        <v>158</v>
      </c>
      <c r="C46" s="12">
        <f>'19_20 District Budget Summ-17'!O113</f>
        <v>254288.25</v>
      </c>
      <c r="D46" s="12">
        <f>'PCFP-All Expense AA-1 Modi-17'!J28</f>
        <v>253648</v>
      </c>
      <c r="E46" s="12"/>
    </row>
    <row r="47" spans="1:5" hidden="1" x14ac:dyDescent="0.2">
      <c r="A47" s="2">
        <v>3000</v>
      </c>
      <c r="B47" t="s">
        <v>159</v>
      </c>
      <c r="C47" s="12">
        <f>'19_20 District Budget Summ-17'!O114</f>
        <v>0</v>
      </c>
      <c r="D47" s="12">
        <f>'PCFP-All Expense AA-1 Modi-17'!J29</f>
        <v>0</v>
      </c>
      <c r="E47" s="12"/>
    </row>
    <row r="48" spans="1:5" hidden="1" x14ac:dyDescent="0.2">
      <c r="A48" s="2">
        <v>3100</v>
      </c>
      <c r="B48" t="s">
        <v>160</v>
      </c>
      <c r="C48" s="12">
        <f>'19_20 District Budget Summ-17'!O115</f>
        <v>475006</v>
      </c>
      <c r="D48" s="12">
        <f>'PCFP-All Expense AA-1 Modi-17'!J30</f>
        <v>182064</v>
      </c>
      <c r="E48" s="12"/>
    </row>
    <row r="49" spans="1:5" hidden="1" x14ac:dyDescent="0.2">
      <c r="A49" s="2">
        <v>3200</v>
      </c>
      <c r="B49" t="s">
        <v>161</v>
      </c>
      <c r="C49" s="12">
        <f>'19_20 District Budget Summ-17'!O116</f>
        <v>0</v>
      </c>
      <c r="D49" s="12">
        <f>'PCFP-All Expense AA-1 Modi-17'!J31</f>
        <v>0</v>
      </c>
      <c r="E49" s="12"/>
    </row>
    <row r="50" spans="1:5" hidden="1" x14ac:dyDescent="0.2">
      <c r="A50" s="2">
        <v>3300</v>
      </c>
      <c r="B50" t="s">
        <v>162</v>
      </c>
      <c r="C50" s="12">
        <f>'19_20 District Budget Summ-17'!O117</f>
        <v>0</v>
      </c>
      <c r="D50" s="12">
        <f>'PCFP-All Expense AA-1 Modi-17'!J32</f>
        <v>0</v>
      </c>
      <c r="E50" s="12"/>
    </row>
    <row r="51" spans="1:5" hidden="1" x14ac:dyDescent="0.2">
      <c r="A51" s="2">
        <v>4000</v>
      </c>
      <c r="B51" t="s">
        <v>164</v>
      </c>
      <c r="C51" s="12">
        <f>'19_20 District Budget Summ-17'!O118</f>
        <v>0</v>
      </c>
      <c r="D51" s="12">
        <f>'PCFP-All Expense AA-1 Modi-17'!J33</f>
        <v>0</v>
      </c>
      <c r="E51" s="12"/>
    </row>
    <row r="52" spans="1:5" hidden="1" x14ac:dyDescent="0.2">
      <c r="A52" s="2">
        <v>4100</v>
      </c>
      <c r="B52" t="s">
        <v>163</v>
      </c>
      <c r="C52" s="12">
        <f>'19_20 District Budget Summ-17'!O119</f>
        <v>0</v>
      </c>
      <c r="D52" s="12">
        <f>'PCFP-All Expense AA-1 Modi-17'!J34</f>
        <v>0</v>
      </c>
      <c r="E52" s="12"/>
    </row>
    <row r="53" spans="1:5" hidden="1" x14ac:dyDescent="0.2">
      <c r="A53" s="2">
        <v>4200</v>
      </c>
      <c r="B53" t="s">
        <v>165</v>
      </c>
      <c r="C53" s="12">
        <f>'19_20 District Budget Summ-17'!O120</f>
        <v>0</v>
      </c>
      <c r="D53" s="12">
        <f>'PCFP-All Expense AA-1 Modi-17'!J35</f>
        <v>0</v>
      </c>
      <c r="E53" s="12"/>
    </row>
    <row r="54" spans="1:5" hidden="1" x14ac:dyDescent="0.2">
      <c r="A54" s="2">
        <v>4300</v>
      </c>
      <c r="B54" t="s">
        <v>166</v>
      </c>
      <c r="C54" s="12">
        <f>'19_20 District Budget Summ-17'!O121</f>
        <v>0</v>
      </c>
      <c r="D54" s="12">
        <f>'PCFP-All Expense AA-1 Modi-17'!J36</f>
        <v>0</v>
      </c>
      <c r="E54" s="12"/>
    </row>
    <row r="55" spans="1:5" hidden="1" x14ac:dyDescent="0.2">
      <c r="A55" s="2">
        <v>4400</v>
      </c>
      <c r="B55" t="s">
        <v>167</v>
      </c>
      <c r="C55" s="12">
        <f>'19_20 District Budget Summ-17'!O122</f>
        <v>0</v>
      </c>
      <c r="D55" s="12">
        <f>'PCFP-All Expense AA-1 Modi-17'!J37</f>
        <v>0</v>
      </c>
      <c r="E55" s="12"/>
    </row>
    <row r="56" spans="1:5" hidden="1" x14ac:dyDescent="0.2">
      <c r="A56" s="2">
        <v>4500</v>
      </c>
      <c r="B56" t="s">
        <v>168</v>
      </c>
      <c r="C56" s="12">
        <f>'19_20 District Budget Summ-17'!O123</f>
        <v>0</v>
      </c>
      <c r="D56" s="12">
        <f>'PCFP-All Expense AA-1 Modi-17'!J38</f>
        <v>0</v>
      </c>
      <c r="E56" s="12"/>
    </row>
    <row r="57" spans="1:5" hidden="1" x14ac:dyDescent="0.2">
      <c r="A57" s="2">
        <v>4600</v>
      </c>
      <c r="B57" t="s">
        <v>169</v>
      </c>
      <c r="C57" s="12">
        <f>'19_20 District Budget Summ-17'!O124</f>
        <v>0</v>
      </c>
      <c r="D57" s="12">
        <f>'PCFP-All Expense AA-1 Modi-17'!J39</f>
        <v>0</v>
      </c>
      <c r="E57" s="12"/>
    </row>
    <row r="58" spans="1:5" hidden="1" x14ac:dyDescent="0.2">
      <c r="A58" s="2">
        <v>4700</v>
      </c>
      <c r="B58" t="s">
        <v>170</v>
      </c>
      <c r="C58" s="12">
        <f>'19_20 District Budget Summ-17'!O125</f>
        <v>387477</v>
      </c>
      <c r="D58" s="12">
        <f>'PCFP-All Expense AA-1 Modi-17'!J40</f>
        <v>0</v>
      </c>
      <c r="E58" s="12"/>
    </row>
    <row r="59" spans="1:5" hidden="1" x14ac:dyDescent="0.2">
      <c r="A59" s="2">
        <v>4900</v>
      </c>
      <c r="B59" t="s">
        <v>171</v>
      </c>
      <c r="C59" s="12">
        <f>'19_20 District Budget Summ-17'!O126</f>
        <v>4511</v>
      </c>
      <c r="D59" s="12">
        <f>'PCFP-All Expense AA-1 Modi-17'!J41</f>
        <v>0</v>
      </c>
      <c r="E59" s="12"/>
    </row>
    <row r="60" spans="1:5" hidden="1" x14ac:dyDescent="0.2">
      <c r="A60" s="2">
        <v>5000</v>
      </c>
      <c r="B60" t="s">
        <v>172</v>
      </c>
      <c r="C60" s="12">
        <f>'19_20 District Budget Summ-17'!O127</f>
        <v>278184</v>
      </c>
      <c r="D60" s="12">
        <f>'PCFP-All Expense AA-1 Modi-17'!J42</f>
        <v>0</v>
      </c>
      <c r="E60" s="12"/>
    </row>
    <row r="61" spans="1:5" hidden="1" x14ac:dyDescent="0.2">
      <c r="A61" s="2">
        <v>5000</v>
      </c>
      <c r="B61" t="s">
        <v>173</v>
      </c>
      <c r="C61" s="12">
        <f>'19_20 District Budget Summ-17'!O128</f>
        <v>796910</v>
      </c>
      <c r="D61" s="12">
        <f>'PCFP-All Expense AA-1 Modi-17'!J43</f>
        <v>0</v>
      </c>
      <c r="E61" s="12"/>
    </row>
    <row r="62" spans="1:5" hidden="1" x14ac:dyDescent="0.2">
      <c r="A62" s="2">
        <v>6100</v>
      </c>
      <c r="B62" t="s">
        <v>174</v>
      </c>
      <c r="C62" s="12">
        <f>'19_20 District Budget Summ-17'!O129</f>
        <v>0</v>
      </c>
      <c r="D62" s="12">
        <f>'PCFP-All Expense AA-1 Modi-17'!J44</f>
        <v>0</v>
      </c>
      <c r="E62" s="12"/>
    </row>
    <row r="63" spans="1:5" hidden="1" x14ac:dyDescent="0.2">
      <c r="A63" s="2">
        <v>6200</v>
      </c>
      <c r="B63" t="s">
        <v>175</v>
      </c>
      <c r="C63" s="12">
        <f>'19_20 District Budget Summ-17'!O130</f>
        <v>1254960</v>
      </c>
      <c r="D63" s="12">
        <f>'PCFP-All Expense AA-1 Modi-17'!J45</f>
        <v>877390</v>
      </c>
      <c r="E63" s="12"/>
    </row>
    <row r="64" spans="1:5" hidden="1" x14ac:dyDescent="0.2">
      <c r="A64" s="2">
        <v>6300</v>
      </c>
      <c r="B64" t="s">
        <v>176</v>
      </c>
      <c r="C64" s="12">
        <f>'19_20 District Budget Summ-17'!O131</f>
        <v>2200</v>
      </c>
      <c r="D64" s="12">
        <f>'PCFP-All Expense AA-1 Modi-17'!J46</f>
        <v>0</v>
      </c>
      <c r="E64" s="12"/>
    </row>
    <row r="65" spans="1:5" hidden="1" x14ac:dyDescent="0.2">
      <c r="A65" s="2">
        <v>8000</v>
      </c>
      <c r="B65" t="s">
        <v>177</v>
      </c>
      <c r="C65" s="12">
        <f>'19_20 District Budget Summ-17'!O132</f>
        <v>4959830</v>
      </c>
      <c r="D65" s="12">
        <f>'PCFP-All Expense AA-1 Modi-17'!J47</f>
        <v>3843858</v>
      </c>
      <c r="E65" s="12"/>
    </row>
    <row r="66" spans="1:5" hidden="1" x14ac:dyDescent="0.2">
      <c r="B66" t="s">
        <v>445</v>
      </c>
      <c r="C66" s="12">
        <v>0</v>
      </c>
      <c r="D66" s="12">
        <f>'PCFP-All Expense AA-1 Modi-17'!J48</f>
        <v>0</v>
      </c>
      <c r="E66" s="12"/>
    </row>
    <row r="67" spans="1:5" hidden="1" x14ac:dyDescent="0.2">
      <c r="B67" t="s">
        <v>446</v>
      </c>
      <c r="C67" s="12">
        <v>0</v>
      </c>
      <c r="D67" s="12">
        <f>'PCFP-All Expense AA-1 Modi-17'!J49</f>
        <v>0</v>
      </c>
      <c r="E67" s="12"/>
    </row>
    <row r="68" spans="1:5" hidden="1" x14ac:dyDescent="0.2">
      <c r="B68" t="s">
        <v>255</v>
      </c>
      <c r="C68" s="12">
        <v>0</v>
      </c>
      <c r="D68" s="12">
        <f>'PCFP-All Expense AA-1 Modi-17'!J50</f>
        <v>828294</v>
      </c>
      <c r="E68" s="12"/>
    </row>
    <row r="69" spans="1:5" x14ac:dyDescent="0.2">
      <c r="E69" s="12"/>
    </row>
    <row r="70" spans="1:5" s="2" customFormat="1" x14ac:dyDescent="0.2">
      <c r="B70" s="2" t="s">
        <v>448</v>
      </c>
      <c r="C70" s="19">
        <v>0</v>
      </c>
      <c r="D70" s="19">
        <f>'PCFP-All Expense AA-1 Modi-17'!J52</f>
        <v>2996722</v>
      </c>
      <c r="E70" s="19"/>
    </row>
    <row r="71" spans="1:5" x14ac:dyDescent="0.2">
      <c r="E71" s="12"/>
    </row>
    <row r="72" spans="1:5" s="2" customFormat="1" x14ac:dyDescent="0.2">
      <c r="A72" s="53"/>
      <c r="B72" s="2" t="s">
        <v>308</v>
      </c>
      <c r="C72" s="12">
        <f>SUM(C73:C162)</f>
        <v>-1469940</v>
      </c>
      <c r="D72" s="12">
        <f>SUM(D73:D162)</f>
        <v>8982828.8600000013</v>
      </c>
      <c r="E72" s="12"/>
    </row>
    <row r="73" spans="1:5" hidden="1" x14ac:dyDescent="0.2">
      <c r="B73" t="s">
        <v>179</v>
      </c>
      <c r="C73" s="12">
        <f>'19_20 District Budget Summ-17'!O135</f>
        <v>0</v>
      </c>
      <c r="D73" s="12">
        <f>'PCFP-All Expense AA-1 Modi-17'!J56</f>
        <v>0</v>
      </c>
      <c r="E73" s="12"/>
    </row>
    <row r="74" spans="1:5" hidden="1" x14ac:dyDescent="0.2">
      <c r="B74" t="s">
        <v>145</v>
      </c>
      <c r="C74" s="12">
        <f>'19_20 District Budget Summ-17'!O136</f>
        <v>0</v>
      </c>
      <c r="D74" s="12">
        <f>'PCFP-All Expense AA-1 Modi-17'!J57</f>
        <v>69800</v>
      </c>
      <c r="E74" s="12"/>
    </row>
    <row r="75" spans="1:5" hidden="1" x14ac:dyDescent="0.2">
      <c r="B75" t="s">
        <v>180</v>
      </c>
      <c r="C75" s="12">
        <f>'19_20 District Budget Summ-17'!O137</f>
        <v>0</v>
      </c>
      <c r="D75" s="12">
        <f>'PCFP-All Expense AA-1 Modi-17'!J58</f>
        <v>772881</v>
      </c>
      <c r="E75" s="12"/>
    </row>
    <row r="76" spans="1:5" hidden="1" x14ac:dyDescent="0.2">
      <c r="B76" t="s">
        <v>181</v>
      </c>
      <c r="C76" s="12">
        <f>'19_20 District Budget Summ-17'!O138</f>
        <v>0</v>
      </c>
      <c r="D76" s="12">
        <f>'PCFP-All Expense AA-1 Modi-17'!J59</f>
        <v>0</v>
      </c>
      <c r="E76" s="12"/>
    </row>
    <row r="77" spans="1:5" hidden="1" x14ac:dyDescent="0.2">
      <c r="B77" t="s">
        <v>182</v>
      </c>
      <c r="C77" s="12">
        <f>'19_20 District Budget Summ-17'!O139</f>
        <v>0</v>
      </c>
      <c r="D77" s="12">
        <f>'PCFP-All Expense AA-1 Modi-17'!J60</f>
        <v>0</v>
      </c>
      <c r="E77" s="12"/>
    </row>
    <row r="78" spans="1:5" hidden="1" x14ac:dyDescent="0.2">
      <c r="B78" t="s">
        <v>183</v>
      </c>
      <c r="C78" s="12">
        <f>'19_20 District Budget Summ-17'!O140</f>
        <v>0</v>
      </c>
      <c r="D78" s="12">
        <f>'PCFP-All Expense AA-1 Modi-17'!J61</f>
        <v>0</v>
      </c>
      <c r="E78" s="12"/>
    </row>
    <row r="79" spans="1:5" hidden="1" x14ac:dyDescent="0.2">
      <c r="B79" t="s">
        <v>184</v>
      </c>
      <c r="C79" s="12">
        <f>'19_20 District Budget Summ-17'!O141</f>
        <v>0</v>
      </c>
      <c r="D79" s="12">
        <f>'PCFP-All Expense AA-1 Modi-17'!J62</f>
        <v>0</v>
      </c>
      <c r="E79" s="12"/>
    </row>
    <row r="80" spans="1:5" hidden="1" x14ac:dyDescent="0.2">
      <c r="B80" t="s">
        <v>185</v>
      </c>
      <c r="C80" s="12">
        <f>'19_20 District Budget Summ-17'!O142</f>
        <v>0</v>
      </c>
      <c r="D80" s="12">
        <f>'PCFP-All Expense AA-1 Modi-17'!J63</f>
        <v>69604</v>
      </c>
      <c r="E80" s="12"/>
    </row>
    <row r="81" spans="1:5" hidden="1" x14ac:dyDescent="0.2">
      <c r="B81" t="s">
        <v>186</v>
      </c>
      <c r="C81" s="12">
        <f>'19_20 District Budget Summ-17'!O143</f>
        <v>0</v>
      </c>
      <c r="D81" s="12">
        <f>'PCFP-All Expense AA-1 Modi-17'!J64</f>
        <v>0</v>
      </c>
      <c r="E81" s="12"/>
    </row>
    <row r="82" spans="1:5" hidden="1" x14ac:dyDescent="0.2">
      <c r="B82" t="s">
        <v>187</v>
      </c>
      <c r="C82" s="12">
        <f>'19_20 District Budget Summ-17'!O144</f>
        <v>-300000</v>
      </c>
      <c r="D82" s="12">
        <f>'PCFP-All Expense AA-1 Modi-17'!J65</f>
        <v>403093</v>
      </c>
      <c r="E82" s="12"/>
    </row>
    <row r="83" spans="1:5" s="12" customFormat="1" hidden="1" x14ac:dyDescent="0.2">
      <c r="A83" s="19"/>
      <c r="B83" s="12" t="s">
        <v>188</v>
      </c>
      <c r="C83" s="12">
        <f>'19_20 District Budget Summ-17'!O145</f>
        <v>0</v>
      </c>
      <c r="D83" s="12">
        <f>'PCFP-All Expense AA-1 Modi-17'!J66</f>
        <v>836801</v>
      </c>
    </row>
    <row r="84" spans="1:5" hidden="1" x14ac:dyDescent="0.2">
      <c r="B84" t="s">
        <v>189</v>
      </c>
      <c r="C84" s="12">
        <f>'19_20 District Budget Summ-17'!O146</f>
        <v>0</v>
      </c>
      <c r="D84" s="12">
        <f>'PCFP-All Expense AA-1 Modi-17'!J67</f>
        <v>0</v>
      </c>
      <c r="E84" s="12"/>
    </row>
    <row r="85" spans="1:5" hidden="1" x14ac:dyDescent="0.2">
      <c r="B85" t="s">
        <v>190</v>
      </c>
      <c r="C85" s="12">
        <f>'19_20 District Budget Summ-17'!O147</f>
        <v>-49610</v>
      </c>
      <c r="D85" s="12">
        <f>'PCFP-All Expense AA-1 Modi-17'!J68</f>
        <v>0</v>
      </c>
      <c r="E85" s="12"/>
    </row>
    <row r="86" spans="1:5" hidden="1" x14ac:dyDescent="0.2">
      <c r="B86" t="s">
        <v>191</v>
      </c>
      <c r="C86" s="12">
        <f>'19_20 District Budget Summ-17'!O148</f>
        <v>0</v>
      </c>
      <c r="D86" s="12">
        <f>'PCFP-All Expense AA-1 Modi-17'!J69</f>
        <v>0</v>
      </c>
      <c r="E86" s="12"/>
    </row>
    <row r="87" spans="1:5" hidden="1" x14ac:dyDescent="0.2">
      <c r="B87" t="s">
        <v>192</v>
      </c>
      <c r="C87" s="12">
        <f>'19_20 District Budget Summ-17'!O149</f>
        <v>0</v>
      </c>
      <c r="D87" s="12">
        <f>'PCFP-All Expense AA-1 Modi-17'!J70</f>
        <v>0</v>
      </c>
      <c r="E87" s="12"/>
    </row>
    <row r="88" spans="1:5" hidden="1" x14ac:dyDescent="0.2">
      <c r="B88" t="s">
        <v>193</v>
      </c>
      <c r="C88" s="12">
        <f>'19_20 District Budget Summ-17'!O150</f>
        <v>0</v>
      </c>
      <c r="D88" s="12">
        <f>'PCFP-All Expense AA-1 Modi-17'!J71</f>
        <v>0</v>
      </c>
      <c r="E88" s="12"/>
    </row>
    <row r="89" spans="1:5" hidden="1" x14ac:dyDescent="0.2">
      <c r="B89" t="s">
        <v>194</v>
      </c>
      <c r="C89" s="12">
        <f>'19_20 District Budget Summ-17'!O151</f>
        <v>0</v>
      </c>
      <c r="D89" s="12">
        <f>'PCFP-All Expense AA-1 Modi-17'!J72</f>
        <v>0</v>
      </c>
      <c r="E89" s="12"/>
    </row>
    <row r="90" spans="1:5" hidden="1" x14ac:dyDescent="0.2">
      <c r="B90" t="s">
        <v>195</v>
      </c>
      <c r="C90" s="12">
        <f>'19_20 District Budget Summ-17'!O152</f>
        <v>0</v>
      </c>
      <c r="D90" s="12">
        <f>'PCFP-All Expense AA-1 Modi-17'!J73</f>
        <v>0</v>
      </c>
      <c r="E90" s="12"/>
    </row>
    <row r="91" spans="1:5" hidden="1" x14ac:dyDescent="0.2">
      <c r="B91" t="s">
        <v>196</v>
      </c>
      <c r="C91" s="12">
        <f>'19_20 District Budget Summ-17'!O153</f>
        <v>0</v>
      </c>
      <c r="D91" s="12">
        <f>'PCFP-All Expense AA-1 Modi-17'!J74</f>
        <v>0</v>
      </c>
      <c r="E91" s="12"/>
    </row>
    <row r="92" spans="1:5" hidden="1" x14ac:dyDescent="0.2">
      <c r="B92" t="s">
        <v>197</v>
      </c>
      <c r="C92" s="12">
        <f>'19_20 District Budget Summ-17'!O154</f>
        <v>0</v>
      </c>
      <c r="D92" s="12">
        <f>'PCFP-All Expense AA-1 Modi-17'!J75</f>
        <v>0</v>
      </c>
      <c r="E92" s="12"/>
    </row>
    <row r="93" spans="1:5" hidden="1" x14ac:dyDescent="0.2">
      <c r="B93" t="s">
        <v>198</v>
      </c>
      <c r="C93" s="12">
        <f>'19_20 District Budget Summ-17'!O155</f>
        <v>0</v>
      </c>
      <c r="D93" s="12">
        <f>'PCFP-All Expense AA-1 Modi-17'!J76</f>
        <v>0</v>
      </c>
      <c r="E93" s="12"/>
    </row>
    <row r="94" spans="1:5" hidden="1" x14ac:dyDescent="0.2">
      <c r="B94" t="s">
        <v>199</v>
      </c>
      <c r="C94" s="12">
        <f>'19_20 District Budget Summ-17'!O156</f>
        <v>0</v>
      </c>
      <c r="D94" s="12">
        <f>'PCFP-All Expense AA-1 Modi-17'!J77</f>
        <v>0</v>
      </c>
      <c r="E94" s="12"/>
    </row>
    <row r="95" spans="1:5" hidden="1" x14ac:dyDescent="0.2">
      <c r="B95" t="s">
        <v>200</v>
      </c>
      <c r="C95" s="12">
        <f>'19_20 District Budget Summ-17'!O157</f>
        <v>0</v>
      </c>
      <c r="D95" s="12">
        <f>'PCFP-All Expense AA-1 Modi-17'!J78</f>
        <v>0</v>
      </c>
      <c r="E95" s="12"/>
    </row>
    <row r="96" spans="1:5" hidden="1" x14ac:dyDescent="0.2">
      <c r="B96" t="s">
        <v>201</v>
      </c>
      <c r="C96" s="12">
        <f>'19_20 District Budget Summ-17'!O158</f>
        <v>0</v>
      </c>
      <c r="D96" s="12">
        <f>'PCFP-All Expense AA-1 Modi-17'!J79</f>
        <v>0</v>
      </c>
      <c r="E96" s="12"/>
    </row>
    <row r="97" spans="2:5" hidden="1" x14ac:dyDescent="0.2">
      <c r="B97" t="s">
        <v>202</v>
      </c>
      <c r="C97" s="12">
        <f>'19_20 District Budget Summ-17'!O159</f>
        <v>0</v>
      </c>
      <c r="D97" s="12">
        <f>'PCFP-All Expense AA-1 Modi-17'!J80</f>
        <v>0</v>
      </c>
      <c r="E97" s="12"/>
    </row>
    <row r="98" spans="2:5" hidden="1" x14ac:dyDescent="0.2">
      <c r="B98" t="s">
        <v>203</v>
      </c>
      <c r="C98" s="12">
        <f>'19_20 District Budget Summ-17'!O160</f>
        <v>0</v>
      </c>
      <c r="D98" s="12">
        <f>'PCFP-All Expense AA-1 Modi-17'!J81</f>
        <v>0</v>
      </c>
      <c r="E98" s="12"/>
    </row>
    <row r="99" spans="2:5" hidden="1" x14ac:dyDescent="0.2">
      <c r="B99" t="s">
        <v>204</v>
      </c>
      <c r="C99" s="12">
        <f>'19_20 District Budget Summ-17'!O161</f>
        <v>0</v>
      </c>
      <c r="D99" s="12">
        <f>'PCFP-All Expense AA-1 Modi-17'!J82</f>
        <v>0</v>
      </c>
      <c r="E99" s="12"/>
    </row>
    <row r="100" spans="2:5" hidden="1" x14ac:dyDescent="0.2">
      <c r="B100" t="s">
        <v>205</v>
      </c>
      <c r="C100" s="12">
        <f>'19_20 District Budget Summ-17'!O162</f>
        <v>0</v>
      </c>
      <c r="D100" s="12">
        <f>'PCFP-All Expense AA-1 Modi-17'!J83</f>
        <v>2279249</v>
      </c>
      <c r="E100" s="12"/>
    </row>
    <row r="101" spans="2:5" hidden="1" x14ac:dyDescent="0.2">
      <c r="B101" t="s">
        <v>206</v>
      </c>
      <c r="C101" s="12">
        <f>'19_20 District Budget Summ-17'!O163</f>
        <v>0</v>
      </c>
      <c r="D101" s="12">
        <f>'PCFP-All Expense AA-1 Modi-17'!J84</f>
        <v>0</v>
      </c>
      <c r="E101" s="12"/>
    </row>
    <row r="102" spans="2:5" hidden="1" x14ac:dyDescent="0.2">
      <c r="B102" t="s">
        <v>207</v>
      </c>
      <c r="C102" s="12">
        <f>'19_20 District Budget Summ-17'!O164</f>
        <v>0</v>
      </c>
      <c r="D102" s="12">
        <f>'PCFP-All Expense AA-1 Modi-17'!J85</f>
        <v>0</v>
      </c>
      <c r="E102" s="12"/>
    </row>
    <row r="103" spans="2:5" hidden="1" x14ac:dyDescent="0.2">
      <c r="B103" t="s">
        <v>208</v>
      </c>
      <c r="C103" s="12">
        <f>'19_20 District Budget Summ-17'!O165</f>
        <v>0</v>
      </c>
      <c r="D103" s="12">
        <f>'PCFP-All Expense AA-1 Modi-17'!J86</f>
        <v>43503</v>
      </c>
      <c r="E103" s="12"/>
    </row>
    <row r="104" spans="2:5" hidden="1" x14ac:dyDescent="0.2">
      <c r="B104" t="s">
        <v>209</v>
      </c>
      <c r="C104" s="12">
        <f>'19_20 District Budget Summ-17'!O166</f>
        <v>0</v>
      </c>
      <c r="D104" s="12">
        <f>'PCFP-All Expense AA-1 Modi-17'!J87</f>
        <v>0</v>
      </c>
      <c r="E104" s="12"/>
    </row>
    <row r="105" spans="2:5" hidden="1" x14ac:dyDescent="0.2">
      <c r="B105" t="s">
        <v>210</v>
      </c>
      <c r="C105" s="12">
        <f>'19_20 District Budget Summ-17'!O167</f>
        <v>0</v>
      </c>
      <c r="D105" s="12">
        <f>'PCFP-All Expense AA-1 Modi-17'!J88</f>
        <v>0</v>
      </c>
      <c r="E105" s="12"/>
    </row>
    <row r="106" spans="2:5" hidden="1" x14ac:dyDescent="0.2">
      <c r="B106" t="s">
        <v>211</v>
      </c>
      <c r="C106" s="12">
        <f>'19_20 District Budget Summ-17'!O168</f>
        <v>0</v>
      </c>
      <c r="D106" s="12">
        <f>'PCFP-All Expense AA-1 Modi-17'!J89</f>
        <v>0</v>
      </c>
      <c r="E106" s="12"/>
    </row>
    <row r="107" spans="2:5" hidden="1" x14ac:dyDescent="0.2">
      <c r="B107" t="s">
        <v>212</v>
      </c>
      <c r="C107" s="12">
        <f>'19_20 District Budget Summ-17'!O169</f>
        <v>0</v>
      </c>
      <c r="D107" s="12">
        <f>'PCFP-All Expense AA-1 Modi-17'!J90</f>
        <v>0</v>
      </c>
      <c r="E107" s="12"/>
    </row>
    <row r="108" spans="2:5" hidden="1" x14ac:dyDescent="0.2">
      <c r="B108" t="s">
        <v>213</v>
      </c>
      <c r="C108" s="12">
        <f>'19_20 District Budget Summ-17'!O170</f>
        <v>0</v>
      </c>
      <c r="D108" s="12">
        <f>'PCFP-All Expense AA-1 Modi-17'!J91</f>
        <v>0</v>
      </c>
      <c r="E108" s="12"/>
    </row>
    <row r="109" spans="2:5" hidden="1" x14ac:dyDescent="0.2">
      <c r="B109" t="s">
        <v>214</v>
      </c>
      <c r="C109" s="12">
        <f>'19_20 District Budget Summ-17'!O171</f>
        <v>0</v>
      </c>
      <c r="D109" s="12">
        <f>'PCFP-All Expense AA-1 Modi-17'!J92</f>
        <v>0</v>
      </c>
      <c r="E109" s="12"/>
    </row>
    <row r="110" spans="2:5" hidden="1" x14ac:dyDescent="0.2">
      <c r="B110" t="s">
        <v>215</v>
      </c>
      <c r="C110" s="12">
        <f>'19_20 District Budget Summ-17'!O172</f>
        <v>0</v>
      </c>
      <c r="D110" s="12">
        <f>'PCFP-All Expense AA-1 Modi-17'!J93</f>
        <v>0</v>
      </c>
      <c r="E110" s="12"/>
    </row>
    <row r="111" spans="2:5" hidden="1" x14ac:dyDescent="0.2">
      <c r="B111" t="s">
        <v>216</v>
      </c>
      <c r="C111" s="12">
        <f>'19_20 District Budget Summ-17'!O173</f>
        <v>0</v>
      </c>
      <c r="D111" s="12">
        <f>'PCFP-All Expense AA-1 Modi-17'!J94</f>
        <v>0</v>
      </c>
      <c r="E111" s="12"/>
    </row>
    <row r="112" spans="2:5" hidden="1" x14ac:dyDescent="0.2">
      <c r="B112" t="s">
        <v>217</v>
      </c>
      <c r="C112" s="12">
        <f>'19_20 District Budget Summ-17'!O174</f>
        <v>0</v>
      </c>
      <c r="D112" s="12">
        <f>'PCFP-All Expense AA-1 Modi-17'!J95</f>
        <v>0</v>
      </c>
      <c r="E112" s="12"/>
    </row>
    <row r="113" spans="1:5" hidden="1" x14ac:dyDescent="0.2">
      <c r="B113" t="s">
        <v>218</v>
      </c>
      <c r="C113" s="12">
        <f>'19_20 District Budget Summ-17'!O175</f>
        <v>-182064</v>
      </c>
      <c r="D113" s="12">
        <f>'PCFP-All Expense AA-1 Modi-17'!J96</f>
        <v>0</v>
      </c>
      <c r="E113" s="12"/>
    </row>
    <row r="114" spans="1:5" hidden="1" x14ac:dyDescent="0.2">
      <c r="B114" t="s">
        <v>219</v>
      </c>
      <c r="C114" s="12">
        <f>'19_20 District Budget Summ-17'!O176</f>
        <v>0</v>
      </c>
      <c r="D114" s="12">
        <f>'PCFP-All Expense AA-1 Modi-17'!J97</f>
        <v>0</v>
      </c>
      <c r="E114" s="12"/>
    </row>
    <row r="115" spans="1:5" hidden="1" x14ac:dyDescent="0.2">
      <c r="B115" t="s">
        <v>220</v>
      </c>
      <c r="C115" s="12">
        <f>'19_20 District Budget Summ-17'!O177</f>
        <v>0</v>
      </c>
      <c r="D115" s="12">
        <f>'PCFP-All Expense AA-1 Modi-17'!J98</f>
        <v>0</v>
      </c>
      <c r="E115" s="12"/>
    </row>
    <row r="116" spans="1:5" hidden="1" x14ac:dyDescent="0.2">
      <c r="B116" t="s">
        <v>221</v>
      </c>
      <c r="C116" s="12">
        <f>'19_20 District Budget Summ-17'!O178</f>
        <v>0</v>
      </c>
      <c r="D116" s="12">
        <f>'PCFP-All Expense AA-1 Modi-17'!J99</f>
        <v>0</v>
      </c>
      <c r="E116" s="12"/>
    </row>
    <row r="117" spans="1:5" hidden="1" x14ac:dyDescent="0.2">
      <c r="A117" s="2" t="s">
        <v>10</v>
      </c>
      <c r="B117" t="s">
        <v>142</v>
      </c>
      <c r="C117" s="12">
        <f>'19_20 District Budget Summ-17'!O179</f>
        <v>0</v>
      </c>
      <c r="D117" s="12">
        <f>'PCFP-All Expense AA-1 Modi-17'!J100</f>
        <v>129000</v>
      </c>
      <c r="E117" s="12"/>
    </row>
    <row r="118" spans="1:5" hidden="1" x14ac:dyDescent="0.2">
      <c r="A118" s="2" t="s">
        <v>10</v>
      </c>
      <c r="B118" t="s">
        <v>141</v>
      </c>
      <c r="C118" s="12">
        <f>'19_20 District Budget Summ-17'!O180</f>
        <v>0</v>
      </c>
      <c r="D118" s="12">
        <f>'PCFP-All Expense AA-1 Modi-17'!J101</f>
        <v>152617.73000000001</v>
      </c>
      <c r="E118" s="12"/>
    </row>
    <row r="119" spans="1:5" hidden="1" x14ac:dyDescent="0.2">
      <c r="A119" s="2" t="s">
        <v>33</v>
      </c>
      <c r="B119" t="s">
        <v>222</v>
      </c>
      <c r="C119" s="12">
        <f>'19_20 District Budget Summ-17'!O181</f>
        <v>0</v>
      </c>
      <c r="D119" s="12">
        <f>'PCFP-All Expense AA-1 Modi-17'!J102</f>
        <v>0</v>
      </c>
      <c r="E119" s="12"/>
    </row>
    <row r="120" spans="1:5" hidden="1" x14ac:dyDescent="0.2">
      <c r="A120" s="2" t="s">
        <v>10</v>
      </c>
      <c r="B120" t="s">
        <v>138</v>
      </c>
      <c r="C120" s="12">
        <f>'19_20 District Budget Summ-17'!O182</f>
        <v>0</v>
      </c>
      <c r="D120" s="12">
        <f>'PCFP-All Expense AA-1 Modi-17'!J103</f>
        <v>0</v>
      </c>
      <c r="E120" s="12"/>
    </row>
    <row r="121" spans="1:5" hidden="1" x14ac:dyDescent="0.2">
      <c r="A121" s="2" t="s">
        <v>10</v>
      </c>
      <c r="B121" t="s">
        <v>136</v>
      </c>
      <c r="C121" s="12">
        <f>'19_20 District Budget Summ-17'!O183</f>
        <v>0</v>
      </c>
      <c r="D121" s="12">
        <f>'PCFP-All Expense AA-1 Modi-17'!J104</f>
        <v>1932280</v>
      </c>
      <c r="E121" s="12"/>
    </row>
    <row r="122" spans="1:5" hidden="1" x14ac:dyDescent="0.2">
      <c r="B122" t="s">
        <v>223</v>
      </c>
      <c r="C122" s="12">
        <f>'19_20 District Budget Summ-17'!O184</f>
        <v>0</v>
      </c>
      <c r="D122" s="12">
        <f>'PCFP-All Expense AA-1 Modi-17'!J105</f>
        <v>0</v>
      </c>
      <c r="E122" s="12"/>
    </row>
    <row r="123" spans="1:5" hidden="1" x14ac:dyDescent="0.2">
      <c r="B123" t="s">
        <v>224</v>
      </c>
      <c r="C123" s="12">
        <f>'19_20 District Budget Summ-17'!O185</f>
        <v>0</v>
      </c>
      <c r="D123" s="12">
        <f>'PCFP-All Expense AA-1 Modi-17'!J106</f>
        <v>0</v>
      </c>
      <c r="E123" s="12"/>
    </row>
    <row r="124" spans="1:5" hidden="1" x14ac:dyDescent="0.2">
      <c r="B124" t="s">
        <v>225</v>
      </c>
      <c r="C124" s="12">
        <f>'19_20 District Budget Summ-17'!O186</f>
        <v>0</v>
      </c>
      <c r="D124" s="12">
        <f>'PCFP-All Expense AA-1 Modi-17'!J107</f>
        <v>0</v>
      </c>
      <c r="E124" s="12"/>
    </row>
    <row r="125" spans="1:5" hidden="1" x14ac:dyDescent="0.2">
      <c r="B125" t="s">
        <v>226</v>
      </c>
      <c r="C125" s="12">
        <f>'19_20 District Budget Summ-17'!O187</f>
        <v>0</v>
      </c>
      <c r="D125" s="12">
        <f>'PCFP-All Expense AA-1 Modi-17'!J108</f>
        <v>0</v>
      </c>
      <c r="E125" s="12"/>
    </row>
    <row r="126" spans="1:5" hidden="1" x14ac:dyDescent="0.2">
      <c r="B126" t="s">
        <v>227</v>
      </c>
      <c r="C126" s="12">
        <f>'19_20 District Budget Summ-17'!O188</f>
        <v>0</v>
      </c>
      <c r="D126" s="12">
        <f>'PCFP-All Expense AA-1 Modi-17'!J109</f>
        <v>0</v>
      </c>
      <c r="E126" s="12"/>
    </row>
    <row r="127" spans="1:5" hidden="1" x14ac:dyDescent="0.2">
      <c r="B127" t="s">
        <v>228</v>
      </c>
      <c r="C127" s="12">
        <f>'19_20 District Budget Summ-17'!O189</f>
        <v>0</v>
      </c>
      <c r="D127" s="12">
        <f>'PCFP-All Expense AA-1 Modi-17'!J110</f>
        <v>0</v>
      </c>
      <c r="E127" s="12"/>
    </row>
    <row r="128" spans="1:5" hidden="1" x14ac:dyDescent="0.2">
      <c r="B128" t="s">
        <v>229</v>
      </c>
      <c r="C128" s="12">
        <f>'19_20 District Budget Summ-17'!O190</f>
        <v>0</v>
      </c>
      <c r="D128" s="12">
        <f>'PCFP-All Expense AA-1 Modi-17'!J111</f>
        <v>0</v>
      </c>
      <c r="E128" s="12"/>
    </row>
    <row r="129" spans="2:5" hidden="1" x14ac:dyDescent="0.2">
      <c r="B129" t="s">
        <v>230</v>
      </c>
      <c r="C129" s="12">
        <f>'19_20 District Budget Summ-17'!O191</f>
        <v>0</v>
      </c>
      <c r="D129" s="12">
        <f>'PCFP-All Expense AA-1 Modi-17'!J112</f>
        <v>0</v>
      </c>
      <c r="E129" s="12"/>
    </row>
    <row r="130" spans="2:5" hidden="1" x14ac:dyDescent="0.2">
      <c r="B130" t="s">
        <v>231</v>
      </c>
      <c r="C130" s="12">
        <f>'19_20 District Budget Summ-17'!O192</f>
        <v>0</v>
      </c>
      <c r="D130" s="12">
        <f>'PCFP-All Expense AA-1 Modi-17'!J113</f>
        <v>0</v>
      </c>
      <c r="E130" s="12"/>
    </row>
    <row r="131" spans="2:5" hidden="1" x14ac:dyDescent="0.2">
      <c r="B131" t="s">
        <v>232</v>
      </c>
      <c r="C131" s="12">
        <f>'19_20 District Budget Summ-17'!O193</f>
        <v>0</v>
      </c>
      <c r="D131" s="12">
        <f>'PCFP-All Expense AA-1 Modi-17'!J114</f>
        <v>0</v>
      </c>
      <c r="E131" s="12"/>
    </row>
    <row r="132" spans="2:5" hidden="1" x14ac:dyDescent="0.2">
      <c r="B132" t="s">
        <v>233</v>
      </c>
      <c r="C132" s="12">
        <f>'19_20 District Budget Summ-17'!O194</f>
        <v>0</v>
      </c>
      <c r="D132" s="12">
        <f>'PCFP-All Expense AA-1 Modi-17'!J115</f>
        <v>0</v>
      </c>
      <c r="E132" s="12"/>
    </row>
    <row r="133" spans="2:5" hidden="1" x14ac:dyDescent="0.2">
      <c r="B133" t="s">
        <v>234</v>
      </c>
      <c r="C133" s="12">
        <f>'19_20 District Budget Summ-17'!O195</f>
        <v>0</v>
      </c>
      <c r="D133" s="12">
        <f>'PCFP-All Expense AA-1 Modi-17'!J116</f>
        <v>0</v>
      </c>
      <c r="E133" s="12"/>
    </row>
    <row r="134" spans="2:5" hidden="1" x14ac:dyDescent="0.2">
      <c r="B134" t="s">
        <v>9</v>
      </c>
      <c r="C134" s="12">
        <f>'19_20 District Budget Summ-17'!O196</f>
        <v>-899591</v>
      </c>
      <c r="D134" s="12">
        <f>'PCFP-All Expense AA-1 Modi-17'!J117</f>
        <v>0</v>
      </c>
      <c r="E134" s="12"/>
    </row>
    <row r="135" spans="2:5" hidden="1" x14ac:dyDescent="0.2">
      <c r="B135" s="3" t="s">
        <v>581</v>
      </c>
      <c r="C135" s="12">
        <f>'19_20 District Budget Summ-17'!O197</f>
        <v>0</v>
      </c>
      <c r="D135" s="12">
        <f>'PCFP-All Expense AA-1 Modi-17'!J118</f>
        <v>0</v>
      </c>
      <c r="E135" s="12"/>
    </row>
    <row r="136" spans="2:5" hidden="1" x14ac:dyDescent="0.2">
      <c r="B136" s="3" t="s">
        <v>235</v>
      </c>
      <c r="C136" s="12">
        <f>'19_20 District Budget Summ-17'!O198</f>
        <v>0</v>
      </c>
      <c r="D136" s="12">
        <f>'PCFP-All Expense AA-1 Modi-17'!J119</f>
        <v>1921308.91</v>
      </c>
      <c r="E136" s="12"/>
    </row>
    <row r="137" spans="2:5" hidden="1" x14ac:dyDescent="0.2">
      <c r="B137" t="s">
        <v>236</v>
      </c>
      <c r="C137" s="12">
        <f>'19_20 District Budget Summ-17'!O199</f>
        <v>-38675</v>
      </c>
      <c r="D137" s="12">
        <f>'PCFP-All Expense AA-1 Modi-17'!J120</f>
        <v>1330670.49</v>
      </c>
      <c r="E137" s="12"/>
    </row>
    <row r="138" spans="2:5" hidden="1" x14ac:dyDescent="0.2">
      <c r="B138" t="s">
        <v>237</v>
      </c>
      <c r="C138" s="12">
        <f>'19_20 District Budget Summ-17'!O200</f>
        <v>0</v>
      </c>
      <c r="D138" s="12">
        <f>'PCFP-All Expense AA-1 Modi-17'!J121</f>
        <v>0</v>
      </c>
      <c r="E138" s="12"/>
    </row>
    <row r="139" spans="2:5" hidden="1" x14ac:dyDescent="0.2">
      <c r="B139" t="s">
        <v>238</v>
      </c>
      <c r="C139" s="12">
        <f>'19_20 District Budget Summ-17'!O201</f>
        <v>0</v>
      </c>
      <c r="D139" s="12">
        <f>'PCFP-All Expense AA-1 Modi-17'!J122</f>
        <v>0</v>
      </c>
      <c r="E139" s="12"/>
    </row>
    <row r="140" spans="2:5" hidden="1" x14ac:dyDescent="0.2">
      <c r="B140" t="s">
        <v>239</v>
      </c>
      <c r="C140" s="12">
        <f>'19_20 District Budget Summ-17'!O202</f>
        <v>0</v>
      </c>
      <c r="D140" s="12">
        <f>'PCFP-All Expense AA-1 Modi-17'!J123</f>
        <v>0</v>
      </c>
      <c r="E140" s="12"/>
    </row>
    <row r="141" spans="2:5" hidden="1" x14ac:dyDescent="0.2">
      <c r="B141" t="s">
        <v>240</v>
      </c>
      <c r="C141" s="12">
        <f>'19_20 District Budget Summ-17'!O203</f>
        <v>0</v>
      </c>
      <c r="D141" s="12">
        <f>'PCFP-All Expense AA-1 Modi-17'!J124</f>
        <v>0</v>
      </c>
      <c r="E141" s="12"/>
    </row>
    <row r="142" spans="2:5" hidden="1" x14ac:dyDescent="0.2">
      <c r="B142" t="s">
        <v>241</v>
      </c>
      <c r="C142" s="12">
        <f>'19_20 District Budget Summ-17'!O204</f>
        <v>0</v>
      </c>
      <c r="D142" s="12">
        <f>'PCFP-All Expense AA-1 Modi-17'!J125</f>
        <v>0</v>
      </c>
      <c r="E142" s="12"/>
    </row>
    <row r="143" spans="2:5" hidden="1" x14ac:dyDescent="0.2">
      <c r="B143" t="s">
        <v>242</v>
      </c>
      <c r="C143" s="12">
        <f>'19_20 District Budget Summ-17'!O205</f>
        <v>0</v>
      </c>
      <c r="D143" s="12">
        <f>'PCFP-All Expense AA-1 Modi-17'!J126</f>
        <v>0</v>
      </c>
      <c r="E143" s="12"/>
    </row>
    <row r="144" spans="2:5" hidden="1" x14ac:dyDescent="0.2">
      <c r="B144" t="s">
        <v>243</v>
      </c>
      <c r="C144" s="12">
        <f>'19_20 District Budget Summ-17'!O206</f>
        <v>0</v>
      </c>
      <c r="D144" s="12">
        <f>'PCFP-All Expense AA-1 Modi-17'!J127</f>
        <v>0</v>
      </c>
      <c r="E144" s="12"/>
    </row>
    <row r="145" spans="2:5" hidden="1" x14ac:dyDescent="0.2">
      <c r="B145" t="s">
        <v>244</v>
      </c>
      <c r="C145" s="12">
        <f>'19_20 District Budget Summ-17'!O207</f>
        <v>0</v>
      </c>
      <c r="D145" s="12">
        <f>'PCFP-All Expense AA-1 Modi-17'!J128</f>
        <v>0</v>
      </c>
      <c r="E145" s="12"/>
    </row>
    <row r="146" spans="2:5" hidden="1" x14ac:dyDescent="0.2">
      <c r="B146" s="2" t="s">
        <v>245</v>
      </c>
      <c r="C146" s="12">
        <f>'19_20 District Budget Summ-17'!O208</f>
        <v>0</v>
      </c>
      <c r="D146" s="12">
        <f>'PCFP-All Expense AA-1 Modi-17'!J129</f>
        <v>0</v>
      </c>
      <c r="E146" s="12"/>
    </row>
    <row r="147" spans="2:5" hidden="1" x14ac:dyDescent="0.2">
      <c r="B147" t="s">
        <v>246</v>
      </c>
      <c r="C147" s="12">
        <f>'19_20 District Budget Summ-17'!O209</f>
        <v>0</v>
      </c>
      <c r="D147" s="12">
        <f>'PCFP-All Expense AA-1 Modi-17'!J130</f>
        <v>475085</v>
      </c>
      <c r="E147" s="12"/>
    </row>
    <row r="148" spans="2:5" hidden="1" x14ac:dyDescent="0.2">
      <c r="B148" t="s">
        <v>247</v>
      </c>
      <c r="C148" s="12">
        <f>'19_20 District Budget Summ-17'!O210</f>
        <v>0</v>
      </c>
      <c r="D148" s="12">
        <f>'PCFP-All Expense AA-1 Modi-17'!J131</f>
        <v>0</v>
      </c>
      <c r="E148" s="12"/>
    </row>
    <row r="149" spans="2:5" hidden="1" x14ac:dyDescent="0.2">
      <c r="B149" t="s">
        <v>248</v>
      </c>
      <c r="C149" s="12">
        <f>'19_20 District Budget Summ-17'!O211</f>
        <v>0</v>
      </c>
      <c r="D149" s="12">
        <f>'PCFP-All Expense AA-1 Modi-17'!J132</f>
        <v>0</v>
      </c>
      <c r="E149" s="12"/>
    </row>
    <row r="150" spans="2:5" hidden="1" x14ac:dyDescent="0.2">
      <c r="B150" t="s">
        <v>249</v>
      </c>
      <c r="C150" s="12">
        <f>'19_20 District Budget Summ-17'!O212</f>
        <v>0</v>
      </c>
      <c r="D150" s="12">
        <f>'PCFP-All Expense AA-1 Modi-17'!J133</f>
        <v>0</v>
      </c>
      <c r="E150" s="12"/>
    </row>
    <row r="151" spans="2:5" hidden="1" x14ac:dyDescent="0.2">
      <c r="B151" t="s">
        <v>250</v>
      </c>
      <c r="C151" s="12">
        <f>'19_20 District Budget Summ-17'!O213</f>
        <v>0</v>
      </c>
      <c r="D151" s="12">
        <f>'PCFP-All Expense AA-1 Modi-17'!J134</f>
        <v>0</v>
      </c>
      <c r="E151" s="12"/>
    </row>
    <row r="152" spans="2:5" hidden="1" x14ac:dyDescent="0.2">
      <c r="B152" t="s">
        <v>251</v>
      </c>
      <c r="C152" s="12">
        <f>'19_20 District Budget Summ-17'!O214</f>
        <v>0</v>
      </c>
      <c r="D152" s="12">
        <f>'PCFP-All Expense AA-1 Modi-17'!J135</f>
        <v>0</v>
      </c>
      <c r="E152" s="12"/>
    </row>
    <row r="153" spans="2:5" hidden="1" x14ac:dyDescent="0.2">
      <c r="B153" t="s">
        <v>252</v>
      </c>
      <c r="C153" s="12">
        <f>'19_20 District Budget Summ-17'!O215</f>
        <v>0</v>
      </c>
      <c r="D153" s="12">
        <f>'PCFP-All Expense AA-1 Modi-17'!J136</f>
        <v>0</v>
      </c>
      <c r="E153" s="12"/>
    </row>
    <row r="154" spans="2:5" hidden="1" x14ac:dyDescent="0.2">
      <c r="B154" t="s">
        <v>253</v>
      </c>
      <c r="C154" s="12">
        <f>'19_20 District Budget Summ-17'!O216</f>
        <v>0</v>
      </c>
      <c r="D154" s="12">
        <f>'PCFP-All Expense AA-1 Modi-17'!J137</f>
        <v>0</v>
      </c>
      <c r="E154" s="12"/>
    </row>
    <row r="155" spans="2:5" hidden="1" x14ac:dyDescent="0.2">
      <c r="B155" t="s">
        <v>254</v>
      </c>
      <c r="C155" s="12">
        <f>'19_20 District Budget Summ-17'!O217</f>
        <v>0</v>
      </c>
      <c r="D155" s="12">
        <f>'PCFP-All Expense AA-1 Modi-17'!J138</f>
        <v>0</v>
      </c>
      <c r="E155" s="12"/>
    </row>
    <row r="156" spans="2:5" hidden="1" x14ac:dyDescent="0.2">
      <c r="B156" t="s">
        <v>255</v>
      </c>
      <c r="C156" s="12">
        <f>'19_20 District Budget Summ-17'!O218</f>
        <v>0</v>
      </c>
      <c r="D156" s="12">
        <f>'PCFP-All Expense AA-1 Modi-17'!J139</f>
        <v>0</v>
      </c>
      <c r="E156" s="12"/>
    </row>
    <row r="157" spans="2:5" hidden="1" x14ac:dyDescent="0.2">
      <c r="B157" t="s">
        <v>256</v>
      </c>
      <c r="C157" s="12">
        <f>'19_20 District Budget Summ-17'!O219</f>
        <v>0</v>
      </c>
      <c r="D157" s="12">
        <f>'PCFP-All Expense AA-1 Modi-17'!J140</f>
        <v>0</v>
      </c>
      <c r="E157" s="12"/>
    </row>
    <row r="158" spans="2:5" hidden="1" x14ac:dyDescent="0.2">
      <c r="B158" t="s">
        <v>257</v>
      </c>
      <c r="C158" s="12">
        <f>'19_20 District Budget Summ-17'!O220</f>
        <v>0</v>
      </c>
      <c r="D158" s="12">
        <f>'PCFP-All Expense AA-1 Modi-17'!J141</f>
        <v>0</v>
      </c>
      <c r="E158" s="12"/>
    </row>
    <row r="159" spans="2:5" hidden="1" x14ac:dyDescent="0.2">
      <c r="B159" t="s">
        <v>258</v>
      </c>
      <c r="C159" s="12">
        <f>'19_20 District Budget Summ-17'!O221</f>
        <v>0</v>
      </c>
      <c r="D159" s="12">
        <f>'PCFP-All Expense AA-1 Modi-17'!J142</f>
        <v>0</v>
      </c>
      <c r="E159" s="12"/>
    </row>
    <row r="160" spans="2:5" hidden="1" x14ac:dyDescent="0.2">
      <c r="B160" t="s">
        <v>259</v>
      </c>
      <c r="C160" s="12">
        <f>'19_20 District Budget Summ-17'!O222</f>
        <v>0</v>
      </c>
      <c r="D160" s="12">
        <f>'PCFP-All Expense AA-1 Modi-17'!J143</f>
        <v>0</v>
      </c>
      <c r="E160" s="12"/>
    </row>
    <row r="161" spans="2:5" hidden="1" x14ac:dyDescent="0.2">
      <c r="B161" t="s">
        <v>260</v>
      </c>
      <c r="C161" s="12">
        <f>'19_20 District Budget Summ-17'!O223</f>
        <v>0</v>
      </c>
      <c r="D161" s="12">
        <v>0</v>
      </c>
      <c r="E161" s="12"/>
    </row>
    <row r="162" spans="2:5" hidden="1" x14ac:dyDescent="0.2">
      <c r="B162" t="s">
        <v>648</v>
      </c>
      <c r="C162" s="12">
        <f>'19_20 District Budget Summ-17'!O224</f>
        <v>0</v>
      </c>
      <c r="D162" s="12">
        <v>-1433064.27</v>
      </c>
      <c r="E162" s="12"/>
    </row>
  </sheetData>
  <pageMargins left="0.7" right="0.7" top="0.75" bottom="0.75" header="0.3" footer="0.3"/>
  <pageSetup scale="8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AF95B-7EF1-4D04-8D70-B269EE3F05A1}">
  <dimension ref="A1:R224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5" style="2" bestFit="1" customWidth="1"/>
    <col min="2" max="2" width="41.140625" bestFit="1" customWidth="1"/>
    <col min="3" max="3" width="16.28515625" style="12" bestFit="1" customWidth="1"/>
    <col min="4" max="4" width="15.140625" style="12" bestFit="1" customWidth="1"/>
    <col min="5" max="5" width="20.85546875" style="12" bestFit="1" customWidth="1"/>
    <col min="6" max="6" width="15.85546875" style="12" bestFit="1" customWidth="1"/>
    <col min="7" max="7" width="16.42578125" style="12" bestFit="1" customWidth="1"/>
    <col min="8" max="8" width="19.140625" style="12" bestFit="1" customWidth="1"/>
    <col min="9" max="9" width="18" style="12" bestFit="1" customWidth="1"/>
    <col min="10" max="10" width="15.85546875" style="12" bestFit="1" customWidth="1"/>
    <col min="11" max="11" width="29.5703125" style="12" bestFit="1" customWidth="1"/>
    <col min="12" max="12" width="17.28515625" style="12" bestFit="1" customWidth="1"/>
    <col min="13" max="13" width="19.5703125" style="12" bestFit="1" customWidth="1"/>
    <col min="14" max="14" width="25" style="12" bestFit="1" customWidth="1"/>
    <col min="15" max="15" width="38.140625" bestFit="1" customWidth="1"/>
    <col min="16" max="17" width="15.140625" bestFit="1" customWidth="1"/>
    <col min="18" max="18" width="35.28515625" bestFit="1" customWidth="1"/>
  </cols>
  <sheetData>
    <row r="1" spans="1:18" s="8" customFormat="1" ht="18" x14ac:dyDescent="0.25">
      <c r="A1" s="6"/>
      <c r="B1" s="9" t="s">
        <v>261</v>
      </c>
      <c r="C1" s="535" t="s">
        <v>802</v>
      </c>
      <c r="D1" s="10"/>
      <c r="E1" s="10" t="s">
        <v>119</v>
      </c>
      <c r="F1" s="332" t="s">
        <v>262</v>
      </c>
      <c r="G1" s="333">
        <v>26094959</v>
      </c>
      <c r="I1" s="10"/>
      <c r="J1" s="10"/>
      <c r="K1" s="10"/>
      <c r="L1" s="10"/>
      <c r="M1" s="10"/>
    </row>
    <row r="3" spans="1:18" s="15" customFormat="1" ht="25.5" x14ac:dyDescent="0.2">
      <c r="A3" s="13"/>
      <c r="B3" s="13" t="s">
        <v>120</v>
      </c>
      <c r="C3" s="14" t="s">
        <v>263</v>
      </c>
      <c r="D3" s="14" t="s">
        <v>173</v>
      </c>
      <c r="E3" s="14" t="s">
        <v>191</v>
      </c>
      <c r="F3" s="14" t="s">
        <v>145</v>
      </c>
      <c r="G3" s="14" t="s">
        <v>237</v>
      </c>
      <c r="H3" s="14" t="s">
        <v>9</v>
      </c>
      <c r="I3" s="14" t="s">
        <v>205</v>
      </c>
      <c r="J3" s="14" t="s">
        <v>206</v>
      </c>
      <c r="K3" s="14" t="s">
        <v>220</v>
      </c>
      <c r="L3" s="14" t="s">
        <v>188</v>
      </c>
      <c r="M3" s="14" t="s">
        <v>185</v>
      </c>
      <c r="N3" s="14" t="s">
        <v>272</v>
      </c>
      <c r="O3" s="13" t="s">
        <v>273</v>
      </c>
    </row>
    <row r="4" spans="1:18" s="15" customFormat="1" x14ac:dyDescent="0.2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3"/>
      <c r="Q4" s="290">
        <f>SUM(Q5:Q12)</f>
        <v>8068610</v>
      </c>
    </row>
    <row r="5" spans="1:18" s="3" customFormat="1" x14ac:dyDescent="0.2">
      <c r="B5" s="3" t="s">
        <v>274</v>
      </c>
      <c r="C5" s="957">
        <v>2255840</v>
      </c>
      <c r="D5" s="957">
        <v>780469</v>
      </c>
      <c r="E5" s="957">
        <v>0</v>
      </c>
      <c r="F5" s="957">
        <v>0</v>
      </c>
      <c r="G5" s="957">
        <v>0</v>
      </c>
      <c r="H5" s="957">
        <v>0</v>
      </c>
      <c r="I5" s="957">
        <v>0</v>
      </c>
      <c r="J5" s="957">
        <v>0</v>
      </c>
      <c r="K5" s="957">
        <v>0</v>
      </c>
      <c r="L5" s="957">
        <v>0</v>
      </c>
      <c r="M5" s="957">
        <v>0</v>
      </c>
      <c r="N5" s="957">
        <v>0</v>
      </c>
      <c r="O5" s="905" t="str">
        <f>B5</f>
        <v>Property Taxes</v>
      </c>
      <c r="P5" s="939">
        <f t="shared" ref="P5:P34" si="0">SUM(C5:N5)</f>
        <v>3036309</v>
      </c>
      <c r="Q5" s="523">
        <f>P5-D5</f>
        <v>2255840</v>
      </c>
      <c r="R5" s="3" t="s">
        <v>275</v>
      </c>
    </row>
    <row r="6" spans="1:18" s="3" customFormat="1" x14ac:dyDescent="0.2">
      <c r="B6" s="3" t="s">
        <v>804</v>
      </c>
      <c r="C6" s="957">
        <v>1966516</v>
      </c>
      <c r="D6" s="957">
        <v>473306</v>
      </c>
      <c r="E6" s="957">
        <v>0</v>
      </c>
      <c r="F6" s="957">
        <v>0</v>
      </c>
      <c r="G6" s="957">
        <v>0</v>
      </c>
      <c r="H6" s="957">
        <v>0</v>
      </c>
      <c r="I6" s="957">
        <v>0</v>
      </c>
      <c r="J6" s="957">
        <v>0</v>
      </c>
      <c r="K6" s="957">
        <v>0</v>
      </c>
      <c r="L6" s="957">
        <v>0</v>
      </c>
      <c r="M6" s="957">
        <v>0</v>
      </c>
      <c r="N6" s="957">
        <v>0</v>
      </c>
      <c r="O6" s="905" t="str">
        <f t="shared" ref="O6:O34" si="1">B6</f>
        <v>Net proceeds of Mines</v>
      </c>
      <c r="P6" s="939">
        <f t="shared" si="0"/>
        <v>2439822</v>
      </c>
      <c r="Q6" s="523">
        <f>P6-D6</f>
        <v>1966516</v>
      </c>
      <c r="R6" s="3" t="s">
        <v>473</v>
      </c>
    </row>
    <row r="7" spans="1:18" s="3" customFormat="1" x14ac:dyDescent="0.2">
      <c r="B7" s="3" t="s">
        <v>276</v>
      </c>
      <c r="C7" s="957">
        <v>2979845</v>
      </c>
      <c r="D7" s="957">
        <v>0</v>
      </c>
      <c r="E7" s="957">
        <v>0</v>
      </c>
      <c r="F7" s="957">
        <v>0</v>
      </c>
      <c r="G7" s="957">
        <v>0</v>
      </c>
      <c r="H7" s="957">
        <v>0</v>
      </c>
      <c r="I7" s="957">
        <v>0</v>
      </c>
      <c r="J7" s="957">
        <v>0</v>
      </c>
      <c r="K7" s="957">
        <v>0</v>
      </c>
      <c r="L7" s="957">
        <v>210000</v>
      </c>
      <c r="M7" s="957">
        <v>0</v>
      </c>
      <c r="N7" s="957">
        <v>0</v>
      </c>
      <c r="O7" s="905" t="str">
        <f t="shared" si="1"/>
        <v>School Support Taxes</v>
      </c>
      <c r="P7" s="939">
        <f t="shared" si="0"/>
        <v>3189845</v>
      </c>
      <c r="Q7" s="523">
        <f>P7-L7</f>
        <v>2979845</v>
      </c>
      <c r="R7" s="3" t="s">
        <v>275</v>
      </c>
    </row>
    <row r="8" spans="1:18" s="3" customFormat="1" hidden="1" x14ac:dyDescent="0.2">
      <c r="B8" s="3" t="s">
        <v>551</v>
      </c>
      <c r="C8" s="957">
        <v>0</v>
      </c>
      <c r="D8" s="957">
        <v>0</v>
      </c>
      <c r="E8" s="957">
        <v>0</v>
      </c>
      <c r="F8" s="957">
        <v>0</v>
      </c>
      <c r="G8" s="957">
        <v>0</v>
      </c>
      <c r="H8" s="957">
        <v>0</v>
      </c>
      <c r="I8" s="957">
        <v>0</v>
      </c>
      <c r="J8" s="957">
        <v>0</v>
      </c>
      <c r="K8" s="957">
        <v>0</v>
      </c>
      <c r="L8" s="957">
        <v>0</v>
      </c>
      <c r="M8" s="957">
        <v>0</v>
      </c>
      <c r="N8" s="957">
        <v>0</v>
      </c>
      <c r="O8" s="905" t="str">
        <f t="shared" si="1"/>
        <v>Real Estate Transfer Tax</v>
      </c>
      <c r="P8" s="939">
        <f t="shared" si="0"/>
        <v>0</v>
      </c>
      <c r="Q8" s="523"/>
    </row>
    <row r="9" spans="1:18" s="3" customFormat="1" hidden="1" x14ac:dyDescent="0.2">
      <c r="B9" s="3" t="s">
        <v>550</v>
      </c>
      <c r="C9" s="957">
        <v>0</v>
      </c>
      <c r="D9" s="957">
        <v>0</v>
      </c>
      <c r="E9" s="957">
        <v>0</v>
      </c>
      <c r="F9" s="957">
        <v>0</v>
      </c>
      <c r="G9" s="957">
        <v>0</v>
      </c>
      <c r="H9" s="957">
        <v>0</v>
      </c>
      <c r="I9" s="957">
        <v>0</v>
      </c>
      <c r="J9" s="957">
        <v>0</v>
      </c>
      <c r="K9" s="957">
        <v>0</v>
      </c>
      <c r="L9" s="957">
        <v>0</v>
      </c>
      <c r="M9" s="957">
        <v>0</v>
      </c>
      <c r="N9" s="957">
        <v>0</v>
      </c>
      <c r="O9" s="905" t="str">
        <f t="shared" si="1"/>
        <v>Room Tax</v>
      </c>
      <c r="P9" s="939">
        <f t="shared" si="0"/>
        <v>0</v>
      </c>
      <c r="Q9" s="523">
        <f t="shared" ref="Q9:Q11" si="2">P9</f>
        <v>0</v>
      </c>
      <c r="R9" s="3" t="s">
        <v>275</v>
      </c>
    </row>
    <row r="10" spans="1:18" s="3" customFormat="1" hidden="1" x14ac:dyDescent="0.2">
      <c r="B10" s="3" t="s">
        <v>277</v>
      </c>
      <c r="C10" s="957">
        <v>0</v>
      </c>
      <c r="D10" s="957">
        <v>0</v>
      </c>
      <c r="E10" s="957">
        <v>0</v>
      </c>
      <c r="F10" s="957">
        <v>0</v>
      </c>
      <c r="G10" s="957">
        <v>0</v>
      </c>
      <c r="H10" s="957">
        <v>0</v>
      </c>
      <c r="I10" s="957">
        <v>0</v>
      </c>
      <c r="J10" s="957">
        <v>0</v>
      </c>
      <c r="K10" s="957">
        <v>0</v>
      </c>
      <c r="L10" s="957">
        <v>0</v>
      </c>
      <c r="M10" s="957">
        <v>0</v>
      </c>
      <c r="N10" s="957">
        <v>0</v>
      </c>
      <c r="O10" s="905" t="str">
        <f t="shared" si="1"/>
        <v>Franchise Taxes</v>
      </c>
      <c r="P10" s="939">
        <f t="shared" si="0"/>
        <v>0</v>
      </c>
      <c r="Q10" s="523">
        <f t="shared" si="2"/>
        <v>0</v>
      </c>
      <c r="R10" s="3" t="s">
        <v>275</v>
      </c>
    </row>
    <row r="11" spans="1:18" s="3" customFormat="1" hidden="1" x14ac:dyDescent="0.2">
      <c r="B11" s="3" t="s">
        <v>680</v>
      </c>
      <c r="C11" s="957">
        <v>0</v>
      </c>
      <c r="D11" s="957">
        <v>0</v>
      </c>
      <c r="E11" s="957">
        <v>0</v>
      </c>
      <c r="F11" s="957">
        <v>0</v>
      </c>
      <c r="G11" s="957">
        <v>0</v>
      </c>
      <c r="H11" s="957">
        <v>0</v>
      </c>
      <c r="I11" s="957">
        <v>0</v>
      </c>
      <c r="J11" s="957">
        <v>0</v>
      </c>
      <c r="K11" s="957">
        <v>0</v>
      </c>
      <c r="L11" s="957">
        <v>0</v>
      </c>
      <c r="M11" s="957">
        <v>0</v>
      </c>
      <c r="N11" s="957">
        <v>0</v>
      </c>
      <c r="O11" s="905" t="str">
        <f t="shared" si="1"/>
        <v>Geothermal</v>
      </c>
      <c r="P11" s="939">
        <f t="shared" si="0"/>
        <v>0</v>
      </c>
      <c r="Q11" s="523">
        <f t="shared" si="2"/>
        <v>0</v>
      </c>
      <c r="R11" s="3" t="s">
        <v>275</v>
      </c>
    </row>
    <row r="12" spans="1:18" s="3" customFormat="1" x14ac:dyDescent="0.2">
      <c r="B12" s="3" t="s">
        <v>278</v>
      </c>
      <c r="C12" s="957">
        <v>866409</v>
      </c>
      <c r="D12" s="957">
        <v>143824</v>
      </c>
      <c r="E12" s="957">
        <v>0</v>
      </c>
      <c r="F12" s="957">
        <v>0</v>
      </c>
      <c r="G12" s="957">
        <v>0</v>
      </c>
      <c r="H12" s="957">
        <v>0</v>
      </c>
      <c r="I12" s="957">
        <v>0</v>
      </c>
      <c r="J12" s="957">
        <v>0</v>
      </c>
      <c r="K12" s="957">
        <v>0</v>
      </c>
      <c r="L12" s="957">
        <v>0</v>
      </c>
      <c r="M12" s="957">
        <v>0</v>
      </c>
      <c r="N12" s="957">
        <v>0</v>
      </c>
      <c r="O12" s="905" t="str">
        <f t="shared" si="1"/>
        <v>Governmental Services Tax</v>
      </c>
      <c r="P12" s="939">
        <f t="shared" si="0"/>
        <v>1010233</v>
      </c>
      <c r="Q12" s="523">
        <f>P12-D12-L12</f>
        <v>866409</v>
      </c>
      <c r="R12" s="3" t="s">
        <v>279</v>
      </c>
    </row>
    <row r="13" spans="1:18" s="3" customFormat="1" hidden="1" x14ac:dyDescent="0.2">
      <c r="B13" s="3" t="s">
        <v>338</v>
      </c>
      <c r="C13" s="957">
        <v>0</v>
      </c>
      <c r="D13" s="957">
        <v>0</v>
      </c>
      <c r="E13" s="957">
        <v>0</v>
      </c>
      <c r="F13" s="957">
        <v>0</v>
      </c>
      <c r="G13" s="957">
        <v>0</v>
      </c>
      <c r="H13" s="957">
        <v>0</v>
      </c>
      <c r="I13" s="957">
        <v>0</v>
      </c>
      <c r="J13" s="957">
        <v>0</v>
      </c>
      <c r="K13" s="957">
        <v>0</v>
      </c>
      <c r="L13" s="957">
        <v>0</v>
      </c>
      <c r="M13" s="957">
        <v>0</v>
      </c>
      <c r="N13" s="957">
        <v>0</v>
      </c>
      <c r="O13" s="905" t="str">
        <f t="shared" si="1"/>
        <v>Other Taxes</v>
      </c>
      <c r="P13" s="939">
        <f t="shared" si="0"/>
        <v>0</v>
      </c>
    </row>
    <row r="14" spans="1:18" s="3" customFormat="1" hidden="1" x14ac:dyDescent="0.2">
      <c r="B14" s="3" t="s">
        <v>281</v>
      </c>
      <c r="C14" s="957">
        <v>0</v>
      </c>
      <c r="D14" s="957">
        <v>0</v>
      </c>
      <c r="E14" s="957">
        <v>0</v>
      </c>
      <c r="F14" s="957">
        <v>0</v>
      </c>
      <c r="G14" s="957">
        <v>0</v>
      </c>
      <c r="H14" s="957">
        <v>0</v>
      </c>
      <c r="I14" s="957">
        <v>0</v>
      </c>
      <c r="J14" s="957">
        <v>0</v>
      </c>
      <c r="K14" s="957">
        <v>0</v>
      </c>
      <c r="L14" s="957">
        <v>0</v>
      </c>
      <c r="M14" s="957">
        <v>0</v>
      </c>
      <c r="N14" s="957">
        <v>0</v>
      </c>
      <c r="O14" s="905" t="str">
        <f t="shared" si="1"/>
        <v>Boat Registration</v>
      </c>
      <c r="P14" s="939">
        <f t="shared" si="0"/>
        <v>0</v>
      </c>
    </row>
    <row r="15" spans="1:18" s="3" customFormat="1" hidden="1" x14ac:dyDescent="0.2">
      <c r="B15" s="3" t="s">
        <v>281</v>
      </c>
      <c r="C15" s="957">
        <v>0</v>
      </c>
      <c r="D15" s="957">
        <v>0</v>
      </c>
      <c r="E15" s="957">
        <v>0</v>
      </c>
      <c r="F15" s="957">
        <v>0</v>
      </c>
      <c r="G15" s="957">
        <v>0</v>
      </c>
      <c r="H15" s="957">
        <v>0</v>
      </c>
      <c r="I15" s="957">
        <v>0</v>
      </c>
      <c r="J15" s="957">
        <v>0</v>
      </c>
      <c r="K15" s="957">
        <v>0</v>
      </c>
      <c r="L15" s="957">
        <v>0</v>
      </c>
      <c r="M15" s="957">
        <v>0</v>
      </c>
      <c r="N15" s="957">
        <v>0</v>
      </c>
      <c r="O15" s="905" t="str">
        <f t="shared" si="1"/>
        <v>Boat Registration</v>
      </c>
      <c r="P15" s="939">
        <f t="shared" si="0"/>
        <v>0</v>
      </c>
    </row>
    <row r="16" spans="1:18" s="3" customFormat="1" hidden="1" x14ac:dyDescent="0.2">
      <c r="B16" s="3" t="s">
        <v>227</v>
      </c>
      <c r="C16" s="957">
        <v>0</v>
      </c>
      <c r="D16" s="957">
        <v>0</v>
      </c>
      <c r="E16" s="957">
        <v>0</v>
      </c>
      <c r="F16" s="957">
        <v>0</v>
      </c>
      <c r="G16" s="957">
        <v>0</v>
      </c>
      <c r="H16" s="957">
        <v>0</v>
      </c>
      <c r="I16" s="957">
        <v>0</v>
      </c>
      <c r="J16" s="957">
        <v>0</v>
      </c>
      <c r="K16" s="957">
        <v>0</v>
      </c>
      <c r="L16" s="957">
        <v>0</v>
      </c>
      <c r="M16" s="957">
        <v>0</v>
      </c>
      <c r="N16" s="957">
        <v>0</v>
      </c>
      <c r="O16" s="905" t="str">
        <f t="shared" si="1"/>
        <v>Residential Construction Tax</v>
      </c>
      <c r="P16" s="939">
        <f t="shared" si="0"/>
        <v>0</v>
      </c>
    </row>
    <row r="17" spans="1:16" s="3" customFormat="1" x14ac:dyDescent="0.2">
      <c r="B17" s="3" t="s">
        <v>282</v>
      </c>
      <c r="C17" s="957">
        <v>23000</v>
      </c>
      <c r="D17" s="957">
        <v>0</v>
      </c>
      <c r="E17" s="957">
        <v>0</v>
      </c>
      <c r="F17" s="957">
        <v>0</v>
      </c>
      <c r="G17" s="957">
        <v>0</v>
      </c>
      <c r="H17" s="957">
        <v>0</v>
      </c>
      <c r="I17" s="957">
        <v>0</v>
      </c>
      <c r="J17" s="957">
        <v>0</v>
      </c>
      <c r="K17" s="957">
        <v>0</v>
      </c>
      <c r="L17" s="957">
        <v>0</v>
      </c>
      <c r="M17" s="957">
        <v>0</v>
      </c>
      <c r="N17" s="957">
        <v>0</v>
      </c>
      <c r="O17" s="905" t="str">
        <f t="shared" si="1"/>
        <v>Tuition</v>
      </c>
      <c r="P17" s="939">
        <f t="shared" si="0"/>
        <v>23000</v>
      </c>
    </row>
    <row r="18" spans="1:16" s="3" customFormat="1" hidden="1" x14ac:dyDescent="0.2">
      <c r="B18" s="3" t="s">
        <v>143</v>
      </c>
      <c r="C18" s="957">
        <v>0</v>
      </c>
      <c r="D18" s="957">
        <v>0</v>
      </c>
      <c r="E18" s="957">
        <v>0</v>
      </c>
      <c r="F18" s="957">
        <v>0</v>
      </c>
      <c r="G18" s="957">
        <v>0</v>
      </c>
      <c r="H18" s="957">
        <v>0</v>
      </c>
      <c r="I18" s="957">
        <v>0</v>
      </c>
      <c r="J18" s="957">
        <v>0</v>
      </c>
      <c r="K18" s="957">
        <v>0</v>
      </c>
      <c r="L18" s="957">
        <v>0</v>
      </c>
      <c r="M18" s="957">
        <v>0</v>
      </c>
      <c r="N18" s="957">
        <v>0</v>
      </c>
      <c r="O18" s="905" t="str">
        <f t="shared" si="1"/>
        <v>Summer School</v>
      </c>
      <c r="P18" s="939">
        <f t="shared" si="0"/>
        <v>0</v>
      </c>
    </row>
    <row r="19" spans="1:16" s="3" customFormat="1" hidden="1" x14ac:dyDescent="0.2">
      <c r="B19" s="3" t="s">
        <v>283</v>
      </c>
      <c r="C19" s="957">
        <v>0</v>
      </c>
      <c r="D19" s="957">
        <v>0</v>
      </c>
      <c r="E19" s="957">
        <v>0</v>
      </c>
      <c r="F19" s="957">
        <v>0</v>
      </c>
      <c r="G19" s="957">
        <v>0</v>
      </c>
      <c r="H19" s="957">
        <v>0</v>
      </c>
      <c r="I19" s="957">
        <v>0</v>
      </c>
      <c r="J19" s="957">
        <v>0</v>
      </c>
      <c r="K19" s="957">
        <v>0</v>
      </c>
      <c r="L19" s="957">
        <v>0</v>
      </c>
      <c r="M19" s="957">
        <v>0</v>
      </c>
      <c r="N19" s="957">
        <v>0</v>
      </c>
      <c r="O19" s="905" t="str">
        <f t="shared" si="1"/>
        <v>Transportation Fees</v>
      </c>
      <c r="P19" s="939">
        <f t="shared" si="0"/>
        <v>0</v>
      </c>
    </row>
    <row r="20" spans="1:16" s="3" customFormat="1" x14ac:dyDescent="0.2">
      <c r="B20" s="3" t="s">
        <v>284</v>
      </c>
      <c r="C20" s="957">
        <v>0</v>
      </c>
      <c r="D20" s="957">
        <v>0</v>
      </c>
      <c r="E20" s="957">
        <v>0</v>
      </c>
      <c r="F20" s="957">
        <v>0</v>
      </c>
      <c r="G20" s="957">
        <v>0</v>
      </c>
      <c r="H20" s="957">
        <v>0</v>
      </c>
      <c r="I20" s="957">
        <v>0</v>
      </c>
      <c r="J20" s="957">
        <v>0</v>
      </c>
      <c r="K20" s="957">
        <v>0</v>
      </c>
      <c r="L20" s="957">
        <v>4500</v>
      </c>
      <c r="M20" s="957">
        <v>2750</v>
      </c>
      <c r="N20" s="957">
        <v>0</v>
      </c>
      <c r="O20" s="905" t="str">
        <f t="shared" si="1"/>
        <v>Earnings on Investments</v>
      </c>
      <c r="P20" s="939">
        <f t="shared" si="0"/>
        <v>7250</v>
      </c>
    </row>
    <row r="21" spans="1:16" s="3" customFormat="1" hidden="1" x14ac:dyDescent="0.2">
      <c r="B21" s="3" t="s">
        <v>651</v>
      </c>
      <c r="C21" s="957">
        <v>0</v>
      </c>
      <c r="D21" s="957">
        <v>0</v>
      </c>
      <c r="E21" s="957">
        <v>0</v>
      </c>
      <c r="F21" s="957">
        <v>0</v>
      </c>
      <c r="G21" s="957">
        <v>0</v>
      </c>
      <c r="H21" s="957">
        <v>0</v>
      </c>
      <c r="I21" s="957">
        <v>0</v>
      </c>
      <c r="J21" s="957">
        <v>0</v>
      </c>
      <c r="K21" s="957">
        <v>0</v>
      </c>
      <c r="L21" s="957">
        <v>0</v>
      </c>
      <c r="M21" s="957">
        <v>0</v>
      </c>
      <c r="N21" s="957">
        <v>0</v>
      </c>
      <c r="O21" s="905" t="str">
        <f t="shared" si="1"/>
        <v>Interest</v>
      </c>
      <c r="P21" s="939">
        <f t="shared" si="0"/>
        <v>0</v>
      </c>
    </row>
    <row r="22" spans="1:16" s="3" customFormat="1" hidden="1" x14ac:dyDescent="0.2">
      <c r="B22" s="3" t="s">
        <v>652</v>
      </c>
      <c r="C22" s="957">
        <v>0</v>
      </c>
      <c r="D22" s="957">
        <v>0</v>
      </c>
      <c r="E22" s="957">
        <v>0</v>
      </c>
      <c r="F22" s="957">
        <v>0</v>
      </c>
      <c r="G22" s="957">
        <v>0</v>
      </c>
      <c r="H22" s="957">
        <v>0</v>
      </c>
      <c r="I22" s="957">
        <v>0</v>
      </c>
      <c r="J22" s="957">
        <v>0</v>
      </c>
      <c r="K22" s="957">
        <v>0</v>
      </c>
      <c r="L22" s="957">
        <v>0</v>
      </c>
      <c r="M22" s="957">
        <v>0</v>
      </c>
      <c r="N22" s="957">
        <v>0</v>
      </c>
      <c r="O22" s="905" t="str">
        <f t="shared" si="1"/>
        <v>Dividends</v>
      </c>
      <c r="P22" s="939">
        <f t="shared" si="0"/>
        <v>0</v>
      </c>
    </row>
    <row r="23" spans="1:16" s="3" customFormat="1" hidden="1" x14ac:dyDescent="0.2">
      <c r="B23" s="3" t="s">
        <v>653</v>
      </c>
      <c r="C23" s="957">
        <v>0</v>
      </c>
      <c r="D23" s="957">
        <v>0</v>
      </c>
      <c r="E23" s="957">
        <v>0</v>
      </c>
      <c r="F23" s="957">
        <v>0</v>
      </c>
      <c r="G23" s="957">
        <v>0</v>
      </c>
      <c r="H23" s="957">
        <v>0</v>
      </c>
      <c r="I23" s="957">
        <v>0</v>
      </c>
      <c r="J23" s="957">
        <v>0</v>
      </c>
      <c r="K23" s="957">
        <v>0</v>
      </c>
      <c r="L23" s="957">
        <v>0</v>
      </c>
      <c r="M23" s="957">
        <v>0</v>
      </c>
      <c r="N23" s="957">
        <v>0</v>
      </c>
      <c r="O23" s="905" t="str">
        <f t="shared" si="1"/>
        <v>Unrealized Gain/Losses</v>
      </c>
      <c r="P23" s="939">
        <f t="shared" si="0"/>
        <v>0</v>
      </c>
    </row>
    <row r="24" spans="1:16" s="3" customFormat="1" hidden="1" x14ac:dyDescent="0.2">
      <c r="B24" s="3" t="s">
        <v>654</v>
      </c>
      <c r="C24" s="957">
        <v>0</v>
      </c>
      <c r="D24" s="957">
        <v>0</v>
      </c>
      <c r="E24" s="957">
        <v>0</v>
      </c>
      <c r="F24" s="957">
        <v>0</v>
      </c>
      <c r="G24" s="957">
        <v>0</v>
      </c>
      <c r="H24" s="957">
        <v>0</v>
      </c>
      <c r="I24" s="957">
        <v>0</v>
      </c>
      <c r="J24" s="957">
        <v>0</v>
      </c>
      <c r="K24" s="957">
        <v>0</v>
      </c>
      <c r="L24" s="957">
        <v>0</v>
      </c>
      <c r="M24" s="957">
        <v>0</v>
      </c>
      <c r="N24" s="957">
        <v>0</v>
      </c>
      <c r="O24" s="905" t="str">
        <f t="shared" si="1"/>
        <v>After School Program Fees</v>
      </c>
      <c r="P24" s="939">
        <f t="shared" si="0"/>
        <v>0</v>
      </c>
    </row>
    <row r="25" spans="1:16" s="3" customFormat="1" hidden="1" x14ac:dyDescent="0.2">
      <c r="B25" s="3" t="s">
        <v>552</v>
      </c>
      <c r="C25" s="957">
        <v>0</v>
      </c>
      <c r="D25" s="957">
        <v>0</v>
      </c>
      <c r="E25" s="957">
        <v>0</v>
      </c>
      <c r="F25" s="957">
        <v>0</v>
      </c>
      <c r="G25" s="957">
        <v>0</v>
      </c>
      <c r="H25" s="957">
        <v>0</v>
      </c>
      <c r="I25" s="957">
        <v>0</v>
      </c>
      <c r="J25" s="957">
        <v>0</v>
      </c>
      <c r="K25" s="957">
        <v>0</v>
      </c>
      <c r="L25" s="957">
        <v>0</v>
      </c>
      <c r="M25" s="957">
        <v>0</v>
      </c>
      <c r="N25" s="957">
        <v>0</v>
      </c>
      <c r="O25" s="905" t="str">
        <f t="shared" si="1"/>
        <v>Direct District Activities Revenue</v>
      </c>
      <c r="P25" s="939">
        <f t="shared" si="0"/>
        <v>0</v>
      </c>
    </row>
    <row r="26" spans="1:16" s="3" customFormat="1" x14ac:dyDescent="0.2">
      <c r="B26" s="3" t="s">
        <v>286</v>
      </c>
      <c r="C26" s="957">
        <v>0</v>
      </c>
      <c r="D26" s="957">
        <v>0</v>
      </c>
      <c r="E26" s="957">
        <v>0</v>
      </c>
      <c r="F26" s="957">
        <v>0</v>
      </c>
      <c r="G26" s="957">
        <v>0</v>
      </c>
      <c r="H26" s="957">
        <v>0</v>
      </c>
      <c r="I26" s="957">
        <v>0</v>
      </c>
      <c r="J26" s="957">
        <v>78071</v>
      </c>
      <c r="K26" s="957">
        <v>0</v>
      </c>
      <c r="L26" s="957">
        <v>0</v>
      </c>
      <c r="M26" s="957">
        <v>0</v>
      </c>
      <c r="N26" s="957">
        <v>0</v>
      </c>
      <c r="O26" s="905" t="str">
        <f t="shared" si="1"/>
        <v>Daily Sales - Food Services</v>
      </c>
      <c r="P26" s="939">
        <f t="shared" si="0"/>
        <v>78071</v>
      </c>
    </row>
    <row r="27" spans="1:16" s="3" customFormat="1" hidden="1" x14ac:dyDescent="0.2">
      <c r="A27" s="3">
        <v>1900</v>
      </c>
      <c r="B27" s="3" t="s">
        <v>280</v>
      </c>
      <c r="C27" s="957">
        <v>0</v>
      </c>
      <c r="D27" s="957">
        <v>0</v>
      </c>
      <c r="E27" s="957">
        <v>0</v>
      </c>
      <c r="F27" s="957">
        <v>0</v>
      </c>
      <c r="G27" s="957">
        <v>0</v>
      </c>
      <c r="H27" s="957">
        <v>0</v>
      </c>
      <c r="I27" s="957">
        <v>0</v>
      </c>
      <c r="J27" s="957">
        <v>0</v>
      </c>
      <c r="K27" s="957">
        <v>0</v>
      </c>
      <c r="L27" s="957">
        <v>0</v>
      </c>
      <c r="M27" s="957">
        <v>0</v>
      </c>
      <c r="N27" s="957">
        <v>0</v>
      </c>
      <c r="O27" s="905" t="str">
        <f t="shared" si="1"/>
        <v>Other Revenues</v>
      </c>
      <c r="P27" s="939">
        <f t="shared" si="0"/>
        <v>0</v>
      </c>
    </row>
    <row r="28" spans="1:16" s="3" customFormat="1" x14ac:dyDescent="0.2">
      <c r="B28" s="3" t="s">
        <v>288</v>
      </c>
      <c r="C28" s="957">
        <v>0</v>
      </c>
      <c r="D28" s="957">
        <v>0</v>
      </c>
      <c r="E28" s="957">
        <v>0</v>
      </c>
      <c r="F28" s="957">
        <v>0</v>
      </c>
      <c r="G28" s="957">
        <v>0</v>
      </c>
      <c r="H28" s="957">
        <v>0</v>
      </c>
      <c r="I28" s="957">
        <v>0</v>
      </c>
      <c r="J28" s="957">
        <v>0</v>
      </c>
      <c r="K28" s="957">
        <v>10000</v>
      </c>
      <c r="L28" s="957">
        <v>0</v>
      </c>
      <c r="M28" s="957">
        <v>0</v>
      </c>
      <c r="N28" s="957">
        <v>0</v>
      </c>
      <c r="O28" s="905" t="str">
        <f t="shared" si="1"/>
        <v>Donations</v>
      </c>
      <c r="P28" s="939">
        <f t="shared" si="0"/>
        <v>10000</v>
      </c>
    </row>
    <row r="29" spans="1:16" s="3" customFormat="1" hidden="1" x14ac:dyDescent="0.2">
      <c r="B29" s="3" t="s">
        <v>287</v>
      </c>
      <c r="C29" s="957">
        <v>0</v>
      </c>
      <c r="D29" s="957">
        <v>0</v>
      </c>
      <c r="E29" s="957">
        <v>0</v>
      </c>
      <c r="F29" s="957">
        <v>0</v>
      </c>
      <c r="G29" s="957">
        <v>0</v>
      </c>
      <c r="H29" s="957">
        <v>0</v>
      </c>
      <c r="I29" s="957">
        <v>0</v>
      </c>
      <c r="J29" s="957">
        <v>0</v>
      </c>
      <c r="K29" s="957">
        <v>0</v>
      </c>
      <c r="L29" s="957">
        <v>0</v>
      </c>
      <c r="M29" s="957">
        <v>0</v>
      </c>
      <c r="N29" s="957">
        <v>0</v>
      </c>
      <c r="O29" s="905" t="str">
        <f t="shared" si="1"/>
        <v>Rentals</v>
      </c>
      <c r="P29" s="939">
        <f t="shared" si="0"/>
        <v>0</v>
      </c>
    </row>
    <row r="30" spans="1:16" s="3" customFormat="1" hidden="1" x14ac:dyDescent="0.2">
      <c r="B30" s="3" t="s">
        <v>598</v>
      </c>
      <c r="C30" s="957">
        <v>0</v>
      </c>
      <c r="D30" s="957">
        <v>0</v>
      </c>
      <c r="E30" s="957">
        <v>0</v>
      </c>
      <c r="F30" s="957">
        <v>0</v>
      </c>
      <c r="G30" s="957">
        <v>0</v>
      </c>
      <c r="H30" s="957">
        <v>0</v>
      </c>
      <c r="I30" s="957">
        <v>0</v>
      </c>
      <c r="J30" s="957">
        <v>0</v>
      </c>
      <c r="K30" s="957">
        <v>0</v>
      </c>
      <c r="L30" s="957">
        <v>0</v>
      </c>
      <c r="M30" s="957">
        <v>0</v>
      </c>
      <c r="N30" s="957">
        <v>0</v>
      </c>
      <c r="O30" s="905" t="str">
        <f t="shared" si="1"/>
        <v>Services Provided Other Govts</v>
      </c>
      <c r="P30" s="939">
        <f t="shared" si="0"/>
        <v>0</v>
      </c>
    </row>
    <row r="31" spans="1:16" s="3" customFormat="1" x14ac:dyDescent="0.2">
      <c r="B31" s="3" t="s">
        <v>289</v>
      </c>
      <c r="C31" s="957">
        <v>50000</v>
      </c>
      <c r="D31" s="957">
        <v>0</v>
      </c>
      <c r="E31" s="957">
        <v>0</v>
      </c>
      <c r="F31" s="957">
        <v>0</v>
      </c>
      <c r="G31" s="957">
        <v>0</v>
      </c>
      <c r="H31" s="957">
        <v>0</v>
      </c>
      <c r="I31" s="957">
        <v>0</v>
      </c>
      <c r="J31" s="957">
        <v>0</v>
      </c>
      <c r="K31" s="957">
        <v>0</v>
      </c>
      <c r="L31" s="957">
        <v>0</v>
      </c>
      <c r="M31" s="957">
        <v>0</v>
      </c>
      <c r="N31" s="957">
        <v>0</v>
      </c>
      <c r="O31" s="905" t="str">
        <f t="shared" si="1"/>
        <v>Miscellaneous</v>
      </c>
      <c r="P31" s="939">
        <f t="shared" si="0"/>
        <v>50000</v>
      </c>
    </row>
    <row r="32" spans="1:16" s="3" customFormat="1" hidden="1" x14ac:dyDescent="0.2">
      <c r="B32" s="3" t="s">
        <v>681</v>
      </c>
      <c r="C32" s="957">
        <v>0</v>
      </c>
      <c r="D32" s="957">
        <v>0</v>
      </c>
      <c r="E32" s="957">
        <v>0</v>
      </c>
      <c r="F32" s="957">
        <v>0</v>
      </c>
      <c r="G32" s="957">
        <v>0</v>
      </c>
      <c r="H32" s="957">
        <v>0</v>
      </c>
      <c r="I32" s="957">
        <v>0</v>
      </c>
      <c r="J32" s="957">
        <v>0</v>
      </c>
      <c r="K32" s="957">
        <v>0</v>
      </c>
      <c r="L32" s="957">
        <v>0</v>
      </c>
      <c r="M32" s="957">
        <v>0</v>
      </c>
      <c r="N32" s="957">
        <v>0</v>
      </c>
      <c r="O32" s="905" t="str">
        <f t="shared" si="1"/>
        <v>Local Safety Grant</v>
      </c>
      <c r="P32" s="939">
        <f t="shared" si="0"/>
        <v>0</v>
      </c>
    </row>
    <row r="33" spans="2:16" s="3" customFormat="1" hidden="1" x14ac:dyDescent="0.2">
      <c r="B33" s="3" t="s">
        <v>656</v>
      </c>
      <c r="C33" s="957">
        <v>0</v>
      </c>
      <c r="D33" s="957">
        <v>0</v>
      </c>
      <c r="E33" s="957">
        <v>0</v>
      </c>
      <c r="F33" s="957">
        <v>0</v>
      </c>
      <c r="G33" s="957">
        <v>0</v>
      </c>
      <c r="H33" s="957">
        <v>0</v>
      </c>
      <c r="I33" s="957">
        <v>0</v>
      </c>
      <c r="J33" s="957">
        <v>0</v>
      </c>
      <c r="K33" s="957">
        <v>0</v>
      </c>
      <c r="L33" s="957">
        <v>0</v>
      </c>
      <c r="M33" s="957">
        <v>0</v>
      </c>
      <c r="N33" s="957">
        <v>0</v>
      </c>
      <c r="O33" s="905" t="str">
        <f t="shared" si="1"/>
        <v>Use of Buildings</v>
      </c>
      <c r="P33" s="939">
        <f t="shared" si="0"/>
        <v>0</v>
      </c>
    </row>
    <row r="34" spans="2:16" hidden="1" x14ac:dyDescent="0.2">
      <c r="B34" s="3" t="s">
        <v>290</v>
      </c>
      <c r="C34" s="957">
        <v>0</v>
      </c>
      <c r="D34" s="957">
        <v>0</v>
      </c>
      <c r="E34" s="957">
        <v>0</v>
      </c>
      <c r="F34" s="957">
        <v>0</v>
      </c>
      <c r="G34" s="957">
        <v>0</v>
      </c>
      <c r="H34" s="957">
        <v>0</v>
      </c>
      <c r="I34" s="957">
        <v>0</v>
      </c>
      <c r="J34" s="957">
        <v>0</v>
      </c>
      <c r="K34" s="957">
        <v>0</v>
      </c>
      <c r="L34" s="957">
        <v>0</v>
      </c>
      <c r="M34" s="957">
        <v>0</v>
      </c>
      <c r="N34" s="957">
        <v>0</v>
      </c>
      <c r="O34" s="905" t="str">
        <f t="shared" si="1"/>
        <v>Indirect Costs</v>
      </c>
      <c r="P34" s="939">
        <f t="shared" si="0"/>
        <v>0</v>
      </c>
    </row>
    <row r="35" spans="2:16" x14ac:dyDescent="0.2">
      <c r="B35" s="3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08"/>
      <c r="P35" s="908"/>
    </row>
    <row r="36" spans="2:16" s="2" customFormat="1" x14ac:dyDescent="0.2">
      <c r="B36" s="39" t="s">
        <v>124</v>
      </c>
      <c r="C36" s="931">
        <f>SUM(C4:C35)</f>
        <v>8141610</v>
      </c>
      <c r="D36" s="931">
        <f t="shared" ref="D36:N36" si="3">SUM(D4:D35)</f>
        <v>1397599</v>
      </c>
      <c r="E36" s="931">
        <f t="shared" si="3"/>
        <v>0</v>
      </c>
      <c r="F36" s="931">
        <f t="shared" si="3"/>
        <v>0</v>
      </c>
      <c r="G36" s="931">
        <f t="shared" si="3"/>
        <v>0</v>
      </c>
      <c r="H36" s="931">
        <f t="shared" si="3"/>
        <v>0</v>
      </c>
      <c r="I36" s="931">
        <f t="shared" si="3"/>
        <v>0</v>
      </c>
      <c r="J36" s="931">
        <f t="shared" si="3"/>
        <v>78071</v>
      </c>
      <c r="K36" s="931">
        <f t="shared" si="3"/>
        <v>10000</v>
      </c>
      <c r="L36" s="931">
        <f t="shared" si="3"/>
        <v>214500</v>
      </c>
      <c r="M36" s="931">
        <f t="shared" si="3"/>
        <v>2750</v>
      </c>
      <c r="N36" s="931">
        <f t="shared" si="3"/>
        <v>0</v>
      </c>
      <c r="O36" s="930">
        <f>SUM(C36:N36)</f>
        <v>9844530</v>
      </c>
      <c r="P36" s="903"/>
    </row>
    <row r="37" spans="2:16" x14ac:dyDescent="0.2">
      <c r="B37" s="16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22"/>
      <c r="P37" s="908"/>
    </row>
    <row r="38" spans="2:16" x14ac:dyDescent="0.2">
      <c r="B38" s="37" t="s">
        <v>291</v>
      </c>
      <c r="C38" s="913">
        <v>5505831</v>
      </c>
      <c r="D38" s="913">
        <v>0</v>
      </c>
      <c r="E38" s="913">
        <v>384311</v>
      </c>
      <c r="F38" s="913">
        <v>840569</v>
      </c>
      <c r="G38" s="913">
        <v>0</v>
      </c>
      <c r="H38" s="913">
        <v>0</v>
      </c>
      <c r="I38" s="913">
        <v>0</v>
      </c>
      <c r="J38" s="913">
        <v>0</v>
      </c>
      <c r="K38" s="913">
        <v>0</v>
      </c>
      <c r="L38" s="913">
        <v>0</v>
      </c>
      <c r="M38" s="913">
        <v>0</v>
      </c>
      <c r="N38" s="913">
        <v>0</v>
      </c>
      <c r="O38" s="919" t="str">
        <f t="shared" ref="O38:O47" si="4">B38</f>
        <v>Distributive School Fund (DSA)</v>
      </c>
      <c r="P38" s="919">
        <f t="shared" ref="P38:P47" si="5">SUM(C38:N38)</f>
        <v>6730711</v>
      </c>
    </row>
    <row r="39" spans="2:16" hidden="1" x14ac:dyDescent="0.2">
      <c r="B39" s="37" t="s">
        <v>292</v>
      </c>
      <c r="C39" s="913">
        <v>0</v>
      </c>
      <c r="D39" s="913">
        <v>0</v>
      </c>
      <c r="E39" s="913">
        <v>0</v>
      </c>
      <c r="F39" s="913">
        <v>0</v>
      </c>
      <c r="G39" s="913">
        <v>0</v>
      </c>
      <c r="H39" s="913">
        <v>0</v>
      </c>
      <c r="I39" s="913">
        <v>0</v>
      </c>
      <c r="J39" s="913">
        <v>0</v>
      </c>
      <c r="K39" s="913">
        <v>0</v>
      </c>
      <c r="L39" s="913">
        <v>0</v>
      </c>
      <c r="M39" s="913">
        <v>0</v>
      </c>
      <c r="N39" s="913">
        <v>0</v>
      </c>
      <c r="O39" s="919" t="str">
        <f t="shared" si="4"/>
        <v>DSA Charter Reduction-Outside Revs</v>
      </c>
      <c r="P39" s="919">
        <f t="shared" si="5"/>
        <v>0</v>
      </c>
    </row>
    <row r="40" spans="2:16" x14ac:dyDescent="0.2">
      <c r="B40" s="37" t="s">
        <v>293</v>
      </c>
      <c r="C40" s="913">
        <v>0</v>
      </c>
      <c r="D40" s="913">
        <v>0</v>
      </c>
      <c r="E40" s="913">
        <v>0</v>
      </c>
      <c r="F40" s="913">
        <v>0</v>
      </c>
      <c r="G40" s="913">
        <v>0</v>
      </c>
      <c r="H40" s="913">
        <v>834281</v>
      </c>
      <c r="I40" s="913">
        <v>0</v>
      </c>
      <c r="J40" s="913">
        <v>0</v>
      </c>
      <c r="K40" s="913">
        <v>0</v>
      </c>
      <c r="L40" s="913">
        <v>0</v>
      </c>
      <c r="M40" s="913">
        <v>0</v>
      </c>
      <c r="N40" s="913">
        <v>0</v>
      </c>
      <c r="O40" s="919" t="str">
        <f t="shared" si="4"/>
        <v>Special Education - DSA Funding</v>
      </c>
      <c r="P40" s="919">
        <f t="shared" si="5"/>
        <v>834281</v>
      </c>
    </row>
    <row r="41" spans="2:16" hidden="1" x14ac:dyDescent="0.2">
      <c r="B41" s="37" t="s">
        <v>475</v>
      </c>
      <c r="C41" s="913">
        <v>0</v>
      </c>
      <c r="D41" s="913">
        <v>0</v>
      </c>
      <c r="E41" s="913">
        <v>0</v>
      </c>
      <c r="F41" s="913">
        <v>0</v>
      </c>
      <c r="G41" s="913">
        <v>0</v>
      </c>
      <c r="H41" s="913">
        <v>0</v>
      </c>
      <c r="I41" s="913">
        <v>0</v>
      </c>
      <c r="J41" s="913">
        <v>0</v>
      </c>
      <c r="K41" s="913">
        <v>0</v>
      </c>
      <c r="L41" s="913">
        <v>0</v>
      </c>
      <c r="M41" s="913">
        <v>0</v>
      </c>
      <c r="N41" s="913">
        <v>0</v>
      </c>
      <c r="O41" s="919" t="str">
        <f t="shared" si="4"/>
        <v>Counseling - DSA Funding</v>
      </c>
      <c r="P41" s="919">
        <f t="shared" si="5"/>
        <v>0</v>
      </c>
    </row>
    <row r="42" spans="2:16" hidden="1" x14ac:dyDescent="0.2">
      <c r="B42" s="37" t="s">
        <v>294</v>
      </c>
      <c r="C42" s="913">
        <v>0</v>
      </c>
      <c r="D42" s="913">
        <v>0</v>
      </c>
      <c r="E42" s="913">
        <v>0</v>
      </c>
      <c r="F42" s="913">
        <v>0</v>
      </c>
      <c r="G42" s="913">
        <v>0</v>
      </c>
      <c r="H42" s="913">
        <v>0</v>
      </c>
      <c r="I42" s="913">
        <v>0</v>
      </c>
      <c r="J42" s="913">
        <v>0</v>
      </c>
      <c r="K42" s="913">
        <v>0</v>
      </c>
      <c r="L42" s="913">
        <v>0</v>
      </c>
      <c r="M42" s="913">
        <v>0</v>
      </c>
      <c r="N42" s="913">
        <v>0</v>
      </c>
      <c r="O42" s="919" t="str">
        <f t="shared" si="4"/>
        <v>State Food Aid</v>
      </c>
      <c r="P42" s="919">
        <f t="shared" si="5"/>
        <v>0</v>
      </c>
    </row>
    <row r="43" spans="2:16" x14ac:dyDescent="0.2">
      <c r="B43" s="37" t="s">
        <v>295</v>
      </c>
      <c r="C43" s="913">
        <v>0</v>
      </c>
      <c r="D43" s="913">
        <v>0</v>
      </c>
      <c r="E43" s="913">
        <v>0</v>
      </c>
      <c r="F43" s="913">
        <v>0</v>
      </c>
      <c r="G43" s="913">
        <v>1853640</v>
      </c>
      <c r="H43" s="913">
        <v>0</v>
      </c>
      <c r="I43" s="913">
        <v>0</v>
      </c>
      <c r="J43" s="913">
        <v>791</v>
      </c>
      <c r="K43" s="913">
        <v>0</v>
      </c>
      <c r="L43" s="913">
        <v>0</v>
      </c>
      <c r="M43" s="913">
        <v>0</v>
      </c>
      <c r="N43" s="913">
        <v>0</v>
      </c>
      <c r="O43" s="919" t="str">
        <f t="shared" si="4"/>
        <v>Restricted Funding/Grants-in-aid rev</v>
      </c>
      <c r="P43" s="919">
        <f t="shared" si="5"/>
        <v>1854431</v>
      </c>
    </row>
    <row r="44" spans="2:16" hidden="1" x14ac:dyDescent="0.2">
      <c r="B44" s="37" t="s">
        <v>682</v>
      </c>
      <c r="C44" s="913">
        <v>0</v>
      </c>
      <c r="D44" s="913">
        <v>0</v>
      </c>
      <c r="E44" s="913">
        <v>0</v>
      </c>
      <c r="F44" s="913">
        <v>0</v>
      </c>
      <c r="G44" s="913">
        <v>0</v>
      </c>
      <c r="H44" s="913">
        <v>0</v>
      </c>
      <c r="I44" s="913">
        <v>0</v>
      </c>
      <c r="J44" s="913">
        <v>0</v>
      </c>
      <c r="K44" s="913">
        <v>0</v>
      </c>
      <c r="L44" s="913">
        <v>0</v>
      </c>
      <c r="M44" s="913">
        <v>0</v>
      </c>
      <c r="N44" s="913">
        <v>0</v>
      </c>
      <c r="O44" s="919" t="str">
        <f t="shared" si="4"/>
        <v xml:space="preserve">Adult High School Diploma </v>
      </c>
      <c r="P44" s="919">
        <f t="shared" si="5"/>
        <v>0</v>
      </c>
    </row>
    <row r="45" spans="2:16" hidden="1" x14ac:dyDescent="0.2">
      <c r="B45" s="37" t="s">
        <v>553</v>
      </c>
      <c r="C45" s="913">
        <v>0</v>
      </c>
      <c r="D45" s="913">
        <v>0</v>
      </c>
      <c r="E45" s="913">
        <v>0</v>
      </c>
      <c r="F45" s="913">
        <v>0</v>
      </c>
      <c r="G45" s="913">
        <v>0</v>
      </c>
      <c r="H45" s="913">
        <v>0</v>
      </c>
      <c r="I45" s="913">
        <v>0</v>
      </c>
      <c r="J45" s="913">
        <v>0</v>
      </c>
      <c r="K45" s="913">
        <v>0</v>
      </c>
      <c r="L45" s="913">
        <v>0</v>
      </c>
      <c r="M45" s="913">
        <v>0</v>
      </c>
      <c r="N45" s="913">
        <v>0</v>
      </c>
      <c r="O45" s="919" t="str">
        <f t="shared" si="4"/>
        <v>SB 178 NV Education Fund Plan</v>
      </c>
      <c r="P45" s="919">
        <f t="shared" si="5"/>
        <v>0</v>
      </c>
    </row>
    <row r="46" spans="2:16" hidden="1" x14ac:dyDescent="0.2">
      <c r="B46" s="37" t="s">
        <v>191</v>
      </c>
      <c r="C46" s="913">
        <v>0</v>
      </c>
      <c r="D46" s="913">
        <v>0</v>
      </c>
      <c r="E46" s="913">
        <v>0</v>
      </c>
      <c r="F46" s="913">
        <v>0</v>
      </c>
      <c r="G46" s="913">
        <v>0</v>
      </c>
      <c r="H46" s="913">
        <v>0</v>
      </c>
      <c r="I46" s="913">
        <v>0</v>
      </c>
      <c r="J46" s="913">
        <v>0</v>
      </c>
      <c r="K46" s="913">
        <v>0</v>
      </c>
      <c r="L46" s="913">
        <v>0</v>
      </c>
      <c r="M46" s="913">
        <v>0</v>
      </c>
      <c r="N46" s="913">
        <v>0</v>
      </c>
      <c r="O46" s="919" t="str">
        <f t="shared" si="4"/>
        <v>Class Size Reduction</v>
      </c>
      <c r="P46" s="919">
        <f t="shared" si="5"/>
        <v>0</v>
      </c>
    </row>
    <row r="47" spans="2:16" hidden="1" x14ac:dyDescent="0.2">
      <c r="B47" s="37" t="s">
        <v>386</v>
      </c>
      <c r="C47" s="913">
        <v>0</v>
      </c>
      <c r="D47" s="913">
        <v>0</v>
      </c>
      <c r="E47" s="913">
        <v>0</v>
      </c>
      <c r="F47" s="913">
        <v>0</v>
      </c>
      <c r="G47" s="913">
        <v>0</v>
      </c>
      <c r="H47" s="913">
        <v>0</v>
      </c>
      <c r="I47" s="913">
        <v>0</v>
      </c>
      <c r="J47" s="913">
        <v>0</v>
      </c>
      <c r="K47" s="913">
        <v>0</v>
      </c>
      <c r="L47" s="913">
        <v>0</v>
      </c>
      <c r="M47" s="913">
        <v>0</v>
      </c>
      <c r="N47" s="913">
        <v>0</v>
      </c>
      <c r="O47" s="919" t="str">
        <f t="shared" si="4"/>
        <v>For/on behalf of School District</v>
      </c>
      <c r="P47" s="919">
        <f t="shared" si="5"/>
        <v>0</v>
      </c>
    </row>
    <row r="48" spans="2:16" x14ac:dyDescent="0.2">
      <c r="C48" s="916"/>
      <c r="D48" s="916"/>
      <c r="E48" s="916"/>
      <c r="F48" s="916"/>
      <c r="G48" s="916"/>
      <c r="H48" s="916"/>
      <c r="I48" s="916"/>
      <c r="J48" s="916"/>
      <c r="K48" s="916"/>
      <c r="L48" s="916"/>
      <c r="M48" s="916"/>
      <c r="N48" s="916"/>
      <c r="O48" s="922"/>
      <c r="P48" s="908"/>
    </row>
    <row r="49" spans="1:16" s="2" customFormat="1" x14ac:dyDescent="0.2">
      <c r="B49" s="39" t="s">
        <v>125</v>
      </c>
      <c r="C49" s="931">
        <f>SUM(C37:C48)</f>
        <v>5505831</v>
      </c>
      <c r="D49" s="931">
        <f t="shared" ref="D49:N49" si="6">SUM(D37:D48)</f>
        <v>0</v>
      </c>
      <c r="E49" s="931">
        <f t="shared" si="6"/>
        <v>384311</v>
      </c>
      <c r="F49" s="931">
        <f t="shared" si="6"/>
        <v>840569</v>
      </c>
      <c r="G49" s="931">
        <f t="shared" si="6"/>
        <v>1853640</v>
      </c>
      <c r="H49" s="931">
        <f t="shared" si="6"/>
        <v>834281</v>
      </c>
      <c r="I49" s="931">
        <f t="shared" si="6"/>
        <v>0</v>
      </c>
      <c r="J49" s="931">
        <f t="shared" si="6"/>
        <v>791</v>
      </c>
      <c r="K49" s="931">
        <f t="shared" si="6"/>
        <v>0</v>
      </c>
      <c r="L49" s="931">
        <f t="shared" si="6"/>
        <v>0</v>
      </c>
      <c r="M49" s="931">
        <f t="shared" si="6"/>
        <v>0</v>
      </c>
      <c r="N49" s="931">
        <f t="shared" si="6"/>
        <v>0</v>
      </c>
      <c r="O49" s="930">
        <f>SUM(C49:N49)</f>
        <v>9419423</v>
      </c>
      <c r="P49" s="903"/>
    </row>
    <row r="50" spans="1:16" x14ac:dyDescent="0.2">
      <c r="B50" s="16"/>
      <c r="C50" s="916"/>
      <c r="D50" s="916"/>
      <c r="E50" s="916"/>
      <c r="F50" s="916"/>
      <c r="G50" s="916"/>
      <c r="H50" s="916"/>
      <c r="I50" s="916"/>
      <c r="J50" s="916"/>
      <c r="K50" s="916"/>
      <c r="L50" s="916"/>
      <c r="M50" s="916"/>
      <c r="N50" s="916"/>
      <c r="O50" s="922"/>
      <c r="P50" s="908"/>
    </row>
    <row r="51" spans="1:16" s="37" customFormat="1" hidden="1" x14ac:dyDescent="0.2">
      <c r="A51" s="45"/>
      <c r="B51" s="37" t="s">
        <v>658</v>
      </c>
      <c r="C51" s="920">
        <v>0</v>
      </c>
      <c r="D51" s="920">
        <v>0</v>
      </c>
      <c r="E51" s="920">
        <v>0</v>
      </c>
      <c r="F51" s="920">
        <v>0</v>
      </c>
      <c r="G51" s="920">
        <v>0</v>
      </c>
      <c r="H51" s="920">
        <v>0</v>
      </c>
      <c r="I51" s="920">
        <v>0</v>
      </c>
      <c r="J51" s="920">
        <v>0</v>
      </c>
      <c r="K51" s="920">
        <v>0</v>
      </c>
      <c r="L51" s="920">
        <v>0</v>
      </c>
      <c r="M51" s="920">
        <v>0</v>
      </c>
      <c r="N51" s="920">
        <v>0</v>
      </c>
      <c r="O51" s="921" t="str">
        <f t="shared" ref="O51:O61" si="7">B51</f>
        <v>Federal Lunch Reimbursement</v>
      </c>
      <c r="P51" s="921">
        <f t="shared" ref="P51:P61" si="8">SUM(C51:N51)</f>
        <v>0</v>
      </c>
    </row>
    <row r="52" spans="1:16" s="37" customFormat="1" hidden="1" x14ac:dyDescent="0.2">
      <c r="A52" s="45"/>
      <c r="B52" s="37" t="s">
        <v>659</v>
      </c>
      <c r="C52" s="920">
        <v>0</v>
      </c>
      <c r="D52" s="920">
        <v>0</v>
      </c>
      <c r="E52" s="920">
        <v>0</v>
      </c>
      <c r="F52" s="920">
        <v>0</v>
      </c>
      <c r="G52" s="920">
        <v>0</v>
      </c>
      <c r="H52" s="920">
        <v>0</v>
      </c>
      <c r="I52" s="920">
        <v>0</v>
      </c>
      <c r="J52" s="920">
        <v>0</v>
      </c>
      <c r="K52" s="920">
        <v>0</v>
      </c>
      <c r="L52" s="920">
        <v>0</v>
      </c>
      <c r="M52" s="920">
        <v>0</v>
      </c>
      <c r="N52" s="920">
        <v>0</v>
      </c>
      <c r="O52" s="921" t="str">
        <f t="shared" si="7"/>
        <v>Forest Reserve</v>
      </c>
      <c r="P52" s="921">
        <f t="shared" si="8"/>
        <v>0</v>
      </c>
    </row>
    <row r="53" spans="1:16" s="37" customFormat="1" hidden="1" x14ac:dyDescent="0.2">
      <c r="A53" s="45"/>
      <c r="B53" s="37" t="s">
        <v>660</v>
      </c>
      <c r="C53" s="920">
        <v>0</v>
      </c>
      <c r="D53" s="920">
        <v>0</v>
      </c>
      <c r="E53" s="920">
        <v>0</v>
      </c>
      <c r="F53" s="920">
        <v>0</v>
      </c>
      <c r="G53" s="920">
        <v>0</v>
      </c>
      <c r="H53" s="920">
        <v>0</v>
      </c>
      <c r="I53" s="920">
        <v>0</v>
      </c>
      <c r="J53" s="920">
        <v>0</v>
      </c>
      <c r="K53" s="920">
        <v>0</v>
      </c>
      <c r="L53" s="920">
        <v>0</v>
      </c>
      <c r="M53" s="920">
        <v>0</v>
      </c>
      <c r="N53" s="920">
        <v>0</v>
      </c>
      <c r="O53" s="921" t="str">
        <f t="shared" si="7"/>
        <v>Erate Funds</v>
      </c>
      <c r="P53" s="921">
        <f t="shared" si="8"/>
        <v>0</v>
      </c>
    </row>
    <row r="54" spans="1:16" s="37" customFormat="1" hidden="1" x14ac:dyDescent="0.2">
      <c r="A54" s="45"/>
      <c r="B54" s="37" t="s">
        <v>683</v>
      </c>
      <c r="C54" s="920">
        <v>0</v>
      </c>
      <c r="D54" s="920">
        <v>0</v>
      </c>
      <c r="E54" s="920">
        <v>0</v>
      </c>
      <c r="F54" s="920">
        <v>0</v>
      </c>
      <c r="G54" s="920">
        <v>0</v>
      </c>
      <c r="H54" s="920">
        <v>0</v>
      </c>
      <c r="I54" s="920">
        <v>0</v>
      </c>
      <c r="J54" s="920">
        <v>0</v>
      </c>
      <c r="K54" s="920">
        <v>0</v>
      </c>
      <c r="L54" s="920">
        <v>0</v>
      </c>
      <c r="M54" s="920">
        <v>0</v>
      </c>
      <c r="N54" s="920">
        <v>0</v>
      </c>
      <c r="O54" s="921" t="str">
        <f t="shared" si="7"/>
        <v>Medicaid Reimbursement</v>
      </c>
      <c r="P54" s="921">
        <f t="shared" si="8"/>
        <v>0</v>
      </c>
    </row>
    <row r="55" spans="1:16" s="37" customFormat="1" hidden="1" x14ac:dyDescent="0.2">
      <c r="A55" s="45"/>
      <c r="B55" s="37" t="s">
        <v>390</v>
      </c>
      <c r="C55" s="920">
        <v>0</v>
      </c>
      <c r="D55" s="920">
        <v>0</v>
      </c>
      <c r="E55" s="920">
        <v>0</v>
      </c>
      <c r="F55" s="920">
        <v>0</v>
      </c>
      <c r="G55" s="920">
        <v>0</v>
      </c>
      <c r="H55" s="920">
        <v>0</v>
      </c>
      <c r="I55" s="920">
        <v>0</v>
      </c>
      <c r="J55" s="920">
        <v>0</v>
      </c>
      <c r="K55" s="920">
        <v>0</v>
      </c>
      <c r="L55" s="920">
        <v>0</v>
      </c>
      <c r="M55" s="920">
        <v>0</v>
      </c>
      <c r="N55" s="920">
        <v>0</v>
      </c>
      <c r="O55" s="921" t="str">
        <f t="shared" si="7"/>
        <v>Unrestricted - Direct Fed Gov't</v>
      </c>
      <c r="P55" s="921">
        <f t="shared" si="8"/>
        <v>0</v>
      </c>
    </row>
    <row r="56" spans="1:16" s="37" customFormat="1" x14ac:dyDescent="0.2">
      <c r="A56" s="45"/>
      <c r="B56" s="37" t="s">
        <v>617</v>
      </c>
      <c r="C56" s="920">
        <v>50000</v>
      </c>
      <c r="D56" s="920">
        <v>0</v>
      </c>
      <c r="E56" s="920">
        <v>0</v>
      </c>
      <c r="F56" s="920">
        <v>0</v>
      </c>
      <c r="G56" s="920">
        <v>0</v>
      </c>
      <c r="H56" s="920">
        <v>0</v>
      </c>
      <c r="I56" s="920">
        <v>0</v>
      </c>
      <c r="J56" s="920">
        <v>0</v>
      </c>
      <c r="K56" s="920">
        <v>0</v>
      </c>
      <c r="L56" s="920">
        <v>0</v>
      </c>
      <c r="M56" s="920">
        <v>0</v>
      </c>
      <c r="N56" s="920">
        <v>0</v>
      </c>
      <c r="O56" s="921" t="str">
        <f t="shared" si="7"/>
        <v>Unrestricted - State Agency</v>
      </c>
      <c r="P56" s="921">
        <f t="shared" si="8"/>
        <v>50000</v>
      </c>
    </row>
    <row r="57" spans="1:16" s="37" customFormat="1" hidden="1" x14ac:dyDescent="0.2">
      <c r="A57" s="45"/>
      <c r="B57" s="37" t="s">
        <v>299</v>
      </c>
      <c r="C57" s="920">
        <v>0</v>
      </c>
      <c r="D57" s="920">
        <v>0</v>
      </c>
      <c r="E57" s="920">
        <v>0</v>
      </c>
      <c r="F57" s="920">
        <v>0</v>
      </c>
      <c r="G57" s="920">
        <v>0</v>
      </c>
      <c r="H57" s="920">
        <v>0</v>
      </c>
      <c r="I57" s="920">
        <v>0</v>
      </c>
      <c r="J57" s="920">
        <v>0</v>
      </c>
      <c r="K57" s="920">
        <v>0</v>
      </c>
      <c r="L57" s="920">
        <v>0</v>
      </c>
      <c r="M57" s="920">
        <v>0</v>
      </c>
      <c r="N57" s="920">
        <v>0</v>
      </c>
      <c r="O57" s="921" t="str">
        <f t="shared" si="7"/>
        <v>Restricted - Direct</v>
      </c>
      <c r="P57" s="921">
        <f t="shared" si="8"/>
        <v>0</v>
      </c>
    </row>
    <row r="58" spans="1:16" s="37" customFormat="1" x14ac:dyDescent="0.2">
      <c r="A58" s="45"/>
      <c r="B58" s="37" t="s">
        <v>298</v>
      </c>
      <c r="C58" s="920">
        <v>0</v>
      </c>
      <c r="D58" s="920">
        <v>0</v>
      </c>
      <c r="E58" s="920">
        <v>0</v>
      </c>
      <c r="F58" s="920">
        <v>0</v>
      </c>
      <c r="G58" s="920">
        <v>0</v>
      </c>
      <c r="H58" s="920">
        <v>0</v>
      </c>
      <c r="I58" s="920">
        <v>1733544</v>
      </c>
      <c r="J58" s="920">
        <v>214159</v>
      </c>
      <c r="K58" s="920">
        <v>0</v>
      </c>
      <c r="L58" s="920">
        <v>0</v>
      </c>
      <c r="M58" s="920">
        <v>0</v>
      </c>
      <c r="N58" s="920">
        <v>0</v>
      </c>
      <c r="O58" s="921" t="str">
        <f t="shared" si="7"/>
        <v>Restricted - State Agency</v>
      </c>
      <c r="P58" s="921">
        <f t="shared" si="8"/>
        <v>1947703</v>
      </c>
    </row>
    <row r="59" spans="1:16" s="37" customFormat="1" x14ac:dyDescent="0.2">
      <c r="A59" s="45"/>
      <c r="B59" s="37" t="s">
        <v>476</v>
      </c>
      <c r="C59" s="920">
        <v>13578</v>
      </c>
      <c r="D59" s="920">
        <v>0</v>
      </c>
      <c r="E59" s="920">
        <v>0</v>
      </c>
      <c r="F59" s="920">
        <v>0</v>
      </c>
      <c r="G59" s="920">
        <v>0</v>
      </c>
      <c r="H59" s="920">
        <v>0</v>
      </c>
      <c r="I59" s="920">
        <v>0</v>
      </c>
      <c r="J59" s="920">
        <v>0</v>
      </c>
      <c r="K59" s="920">
        <v>5000</v>
      </c>
      <c r="L59" s="920">
        <v>0</v>
      </c>
      <c r="M59" s="920">
        <v>0</v>
      </c>
      <c r="N59" s="920">
        <v>0</v>
      </c>
      <c r="O59" s="921" t="str">
        <f t="shared" si="7"/>
        <v>Restricted - Other Agency</v>
      </c>
      <c r="P59" s="921">
        <f t="shared" si="8"/>
        <v>18578</v>
      </c>
    </row>
    <row r="60" spans="1:16" s="37" customFormat="1" hidden="1" x14ac:dyDescent="0.2">
      <c r="A60" s="45"/>
      <c r="B60" s="37" t="s">
        <v>398</v>
      </c>
      <c r="C60" s="913">
        <v>0</v>
      </c>
      <c r="D60" s="913">
        <v>0</v>
      </c>
      <c r="E60" s="913">
        <v>0</v>
      </c>
      <c r="F60" s="913">
        <v>0</v>
      </c>
      <c r="G60" s="913">
        <v>0</v>
      </c>
      <c r="H60" s="913">
        <v>0</v>
      </c>
      <c r="I60" s="913">
        <v>0</v>
      </c>
      <c r="J60" s="913">
        <v>0</v>
      </c>
      <c r="K60" s="913">
        <v>0</v>
      </c>
      <c r="L60" s="913">
        <v>0</v>
      </c>
      <c r="M60" s="913">
        <v>0</v>
      </c>
      <c r="N60" s="913">
        <v>0</v>
      </c>
      <c r="O60" s="921" t="str">
        <f t="shared" si="7"/>
        <v>Revenue in Lieu of Taxes</v>
      </c>
      <c r="P60" s="921">
        <f t="shared" si="8"/>
        <v>0</v>
      </c>
    </row>
    <row r="61" spans="1:16" hidden="1" x14ac:dyDescent="0.2">
      <c r="B61" s="37" t="s">
        <v>554</v>
      </c>
      <c r="C61" s="913">
        <v>0</v>
      </c>
      <c r="D61" s="913">
        <v>0</v>
      </c>
      <c r="E61" s="913">
        <v>0</v>
      </c>
      <c r="F61" s="913">
        <v>0</v>
      </c>
      <c r="G61" s="913">
        <v>0</v>
      </c>
      <c r="H61" s="913">
        <v>0</v>
      </c>
      <c r="I61" s="913">
        <v>0</v>
      </c>
      <c r="J61" s="913">
        <v>0</v>
      </c>
      <c r="K61" s="913">
        <v>0</v>
      </c>
      <c r="L61" s="913">
        <v>0</v>
      </c>
      <c r="M61" s="913">
        <v>0</v>
      </c>
      <c r="N61" s="913">
        <v>0</v>
      </c>
      <c r="O61" s="919" t="str">
        <f t="shared" si="7"/>
        <v>Revenue for/on behalf of School District</v>
      </c>
      <c r="P61" s="919">
        <f t="shared" si="8"/>
        <v>0</v>
      </c>
    </row>
    <row r="62" spans="1:16" x14ac:dyDescent="0.2"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22"/>
      <c r="P62" s="908"/>
    </row>
    <row r="63" spans="1:16" s="2" customFormat="1" x14ac:dyDescent="0.2">
      <c r="B63" s="39" t="s">
        <v>126</v>
      </c>
      <c r="C63" s="931">
        <f>SUM(C50:C62)</f>
        <v>63578</v>
      </c>
      <c r="D63" s="931">
        <f t="shared" ref="D63:N63" si="9">SUM(D50:D62)</f>
        <v>0</v>
      </c>
      <c r="E63" s="931">
        <f t="shared" si="9"/>
        <v>0</v>
      </c>
      <c r="F63" s="931">
        <f t="shared" si="9"/>
        <v>0</v>
      </c>
      <c r="G63" s="931">
        <f t="shared" si="9"/>
        <v>0</v>
      </c>
      <c r="H63" s="931">
        <f t="shared" si="9"/>
        <v>0</v>
      </c>
      <c r="I63" s="931">
        <f t="shared" si="9"/>
        <v>1733544</v>
      </c>
      <c r="J63" s="931">
        <f t="shared" si="9"/>
        <v>214159</v>
      </c>
      <c r="K63" s="931">
        <f t="shared" si="9"/>
        <v>5000</v>
      </c>
      <c r="L63" s="931">
        <f t="shared" si="9"/>
        <v>0</v>
      </c>
      <c r="M63" s="931">
        <f t="shared" si="9"/>
        <v>0</v>
      </c>
      <c r="N63" s="931">
        <f t="shared" si="9"/>
        <v>0</v>
      </c>
      <c r="O63" s="930">
        <f>SUM(C63:N63)</f>
        <v>2016281</v>
      </c>
      <c r="P63" s="903"/>
    </row>
    <row r="64" spans="1:16" x14ac:dyDescent="0.2">
      <c r="B64" s="16"/>
      <c r="C64" s="916"/>
      <c r="D64" s="916"/>
      <c r="E64" s="916"/>
      <c r="F64" s="916"/>
      <c r="G64" s="916"/>
      <c r="H64" s="916"/>
      <c r="I64" s="916"/>
      <c r="J64" s="916"/>
      <c r="K64" s="916"/>
      <c r="L64" s="916"/>
      <c r="M64" s="916"/>
      <c r="N64" s="916"/>
      <c r="O64" s="922"/>
      <c r="P64" s="908"/>
    </row>
    <row r="65" spans="1:16" hidden="1" x14ac:dyDescent="0.2">
      <c r="B65" s="16" t="s">
        <v>300</v>
      </c>
      <c r="C65" s="916">
        <v>0</v>
      </c>
      <c r="D65" s="916">
        <v>0</v>
      </c>
      <c r="E65" s="916">
        <v>0</v>
      </c>
      <c r="F65" s="916">
        <v>0</v>
      </c>
      <c r="G65" s="916">
        <v>0</v>
      </c>
      <c r="H65" s="916">
        <v>0</v>
      </c>
      <c r="I65" s="916">
        <v>0</v>
      </c>
      <c r="J65" s="916">
        <v>0</v>
      </c>
      <c r="K65" s="916">
        <v>0</v>
      </c>
      <c r="L65" s="916">
        <v>0</v>
      </c>
      <c r="M65" s="916">
        <v>0</v>
      </c>
      <c r="N65" s="916">
        <v>0</v>
      </c>
      <c r="O65" s="908" t="s">
        <v>300</v>
      </c>
      <c r="P65" s="916">
        <f>SUM(C65:N65)</f>
        <v>0</v>
      </c>
    </row>
    <row r="66" spans="1:16" hidden="1" x14ac:dyDescent="0.2">
      <c r="B66" s="16" t="s">
        <v>408</v>
      </c>
      <c r="C66" s="916">
        <v>0</v>
      </c>
      <c r="D66" s="916">
        <v>0</v>
      </c>
      <c r="E66" s="916">
        <v>0</v>
      </c>
      <c r="F66" s="916">
        <v>0</v>
      </c>
      <c r="G66" s="916">
        <v>0</v>
      </c>
      <c r="H66" s="916">
        <v>0</v>
      </c>
      <c r="I66" s="916">
        <v>0</v>
      </c>
      <c r="J66" s="916">
        <v>0</v>
      </c>
      <c r="K66" s="916">
        <v>0</v>
      </c>
      <c r="L66" s="916">
        <v>0</v>
      </c>
      <c r="M66" s="916">
        <v>0</v>
      </c>
      <c r="N66" s="916">
        <v>0</v>
      </c>
      <c r="O66" s="908" t="s">
        <v>408</v>
      </c>
      <c r="P66" s="916">
        <f>SUM(C66:N66)</f>
        <v>0</v>
      </c>
    </row>
    <row r="67" spans="1:16" x14ac:dyDescent="0.2">
      <c r="B67" s="16" t="s">
        <v>301</v>
      </c>
      <c r="C67" s="916">
        <v>0</v>
      </c>
      <c r="D67" s="916">
        <v>134630</v>
      </c>
      <c r="E67" s="916">
        <v>0</v>
      </c>
      <c r="F67" s="916">
        <v>0</v>
      </c>
      <c r="G67" s="916">
        <v>38675</v>
      </c>
      <c r="H67" s="916">
        <v>899591</v>
      </c>
      <c r="I67" s="916">
        <v>0</v>
      </c>
      <c r="J67" s="916">
        <v>181985</v>
      </c>
      <c r="K67" s="916">
        <v>0</v>
      </c>
      <c r="L67" s="916">
        <v>300000</v>
      </c>
      <c r="M67" s="916">
        <v>0</v>
      </c>
      <c r="N67" s="916">
        <v>-1554960</v>
      </c>
      <c r="O67" s="908" t="s">
        <v>301</v>
      </c>
      <c r="P67" s="916">
        <f>SUM(C67:N67)</f>
        <v>-79</v>
      </c>
    </row>
    <row r="68" spans="1:16" hidden="1" x14ac:dyDescent="0.2">
      <c r="B68" s="550" t="s">
        <v>746</v>
      </c>
      <c r="C68" s="916">
        <v>0</v>
      </c>
      <c r="D68" s="916">
        <v>0</v>
      </c>
      <c r="E68" s="916">
        <v>0</v>
      </c>
      <c r="F68" s="916">
        <v>0</v>
      </c>
      <c r="G68" s="916">
        <v>0</v>
      </c>
      <c r="H68" s="916">
        <v>0</v>
      </c>
      <c r="I68" s="916">
        <v>0</v>
      </c>
      <c r="J68" s="916">
        <v>0</v>
      </c>
      <c r="K68" s="916">
        <v>0</v>
      </c>
      <c r="L68" s="916">
        <v>0</v>
      </c>
      <c r="M68" s="916">
        <v>0</v>
      </c>
      <c r="N68" s="916">
        <v>0</v>
      </c>
      <c r="O68" s="908" t="s">
        <v>661</v>
      </c>
      <c r="P68" s="916">
        <f>SUM(C68:N68)</f>
        <v>0</v>
      </c>
    </row>
    <row r="69" spans="1:16" x14ac:dyDescent="0.2">
      <c r="C69" s="916"/>
      <c r="D69" s="916"/>
      <c r="E69" s="916"/>
      <c r="F69" s="916"/>
      <c r="G69" s="916"/>
      <c r="H69" s="916"/>
      <c r="I69" s="916"/>
      <c r="J69" s="916"/>
      <c r="K69" s="916"/>
      <c r="L69" s="916"/>
      <c r="M69" s="916"/>
      <c r="N69" s="916"/>
      <c r="O69" s="922"/>
      <c r="P69" s="908"/>
    </row>
    <row r="70" spans="1:16" s="2" customFormat="1" x14ac:dyDescent="0.2">
      <c r="B70" s="39" t="s">
        <v>127</v>
      </c>
      <c r="C70" s="931">
        <f>SUM(C64:C69)</f>
        <v>0</v>
      </c>
      <c r="D70" s="931">
        <f t="shared" ref="D70:N70" si="10">SUM(D64:D69)</f>
        <v>134630</v>
      </c>
      <c r="E70" s="931">
        <f t="shared" si="10"/>
        <v>0</v>
      </c>
      <c r="F70" s="931">
        <f t="shared" si="10"/>
        <v>0</v>
      </c>
      <c r="G70" s="931">
        <f t="shared" si="10"/>
        <v>38675</v>
      </c>
      <c r="H70" s="931">
        <f t="shared" si="10"/>
        <v>899591</v>
      </c>
      <c r="I70" s="931">
        <f t="shared" si="10"/>
        <v>0</v>
      </c>
      <c r="J70" s="931">
        <f t="shared" si="10"/>
        <v>181985</v>
      </c>
      <c r="K70" s="931">
        <f t="shared" si="10"/>
        <v>0</v>
      </c>
      <c r="L70" s="931">
        <f t="shared" si="10"/>
        <v>300000</v>
      </c>
      <c r="M70" s="931">
        <f t="shared" si="10"/>
        <v>0</v>
      </c>
      <c r="N70" s="931">
        <f t="shared" si="10"/>
        <v>-1554960</v>
      </c>
      <c r="O70" s="930">
        <f>SUM(C70:N70)</f>
        <v>-79</v>
      </c>
      <c r="P70" s="903"/>
    </row>
    <row r="71" spans="1:16" x14ac:dyDescent="0.2">
      <c r="C71" s="916"/>
      <c r="D71" s="916"/>
      <c r="E71" s="916"/>
      <c r="F71" s="916"/>
      <c r="G71" s="916"/>
      <c r="H71" s="916"/>
      <c r="I71" s="916"/>
      <c r="J71" s="916"/>
      <c r="K71" s="916"/>
      <c r="L71" s="916"/>
      <c r="M71" s="916"/>
      <c r="N71" s="916"/>
      <c r="O71" s="922"/>
      <c r="P71" s="908"/>
    </row>
    <row r="72" spans="1:16" s="2" customFormat="1" x14ac:dyDescent="0.2">
      <c r="B72" s="18" t="s">
        <v>128</v>
      </c>
      <c r="C72" s="931">
        <f>SUM(C70,C63,C49,C36)</f>
        <v>13711019</v>
      </c>
      <c r="D72" s="931">
        <f t="shared" ref="D72:N72" si="11">SUM(D70,D63,D49,D36)</f>
        <v>1532229</v>
      </c>
      <c r="E72" s="931">
        <f t="shared" si="11"/>
        <v>384311</v>
      </c>
      <c r="F72" s="931">
        <f t="shared" si="11"/>
        <v>840569</v>
      </c>
      <c r="G72" s="931">
        <f t="shared" si="11"/>
        <v>1892315</v>
      </c>
      <c r="H72" s="931">
        <f t="shared" si="11"/>
        <v>1733872</v>
      </c>
      <c r="I72" s="931">
        <f t="shared" si="11"/>
        <v>1733544</v>
      </c>
      <c r="J72" s="931">
        <f t="shared" si="11"/>
        <v>475006</v>
      </c>
      <c r="K72" s="931">
        <f t="shared" si="11"/>
        <v>15000</v>
      </c>
      <c r="L72" s="931">
        <f t="shared" si="11"/>
        <v>514500</v>
      </c>
      <c r="M72" s="931">
        <f t="shared" si="11"/>
        <v>2750</v>
      </c>
      <c r="N72" s="931">
        <f t="shared" si="11"/>
        <v>-1554960</v>
      </c>
      <c r="O72" s="930">
        <f>SUM(O36:O71)</f>
        <v>21280155</v>
      </c>
      <c r="P72" s="903"/>
    </row>
    <row r="73" spans="1:16" s="2" customFormat="1" x14ac:dyDescent="0.2">
      <c r="B73" s="18"/>
      <c r="C73" s="931"/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0"/>
      <c r="P73" s="903"/>
    </row>
    <row r="74" spans="1:16" s="37" customFormat="1" hidden="1" x14ac:dyDescent="0.2">
      <c r="A74" s="45"/>
      <c r="B74" s="37" t="s">
        <v>662</v>
      </c>
      <c r="C74" s="920">
        <v>0</v>
      </c>
      <c r="D74" s="920">
        <v>0</v>
      </c>
      <c r="E74" s="920">
        <v>0</v>
      </c>
      <c r="F74" s="920">
        <v>0</v>
      </c>
      <c r="G74" s="920">
        <v>0</v>
      </c>
      <c r="H74" s="920">
        <v>0</v>
      </c>
      <c r="I74" s="920">
        <v>0</v>
      </c>
      <c r="J74" s="920">
        <v>0</v>
      </c>
      <c r="K74" s="920">
        <v>0</v>
      </c>
      <c r="L74" s="920">
        <v>0</v>
      </c>
      <c r="M74" s="920">
        <v>0</v>
      </c>
      <c r="N74" s="920">
        <v>0</v>
      </c>
      <c r="O74" s="921" t="str">
        <f t="shared" ref="O74:O79" si="12">B74</f>
        <v>Reserved Net Proceeds</v>
      </c>
      <c r="P74" s="921">
        <f t="shared" ref="P74:P79" si="13">SUM(C74:N74)</f>
        <v>0</v>
      </c>
    </row>
    <row r="75" spans="1:16" s="37" customFormat="1" hidden="1" x14ac:dyDescent="0.2">
      <c r="A75" s="45"/>
      <c r="B75" s="37" t="s">
        <v>663</v>
      </c>
      <c r="C75" s="920">
        <v>0</v>
      </c>
      <c r="D75" s="920">
        <v>0</v>
      </c>
      <c r="E75" s="920">
        <v>0</v>
      </c>
      <c r="F75" s="920">
        <v>0</v>
      </c>
      <c r="G75" s="920">
        <v>0</v>
      </c>
      <c r="H75" s="920">
        <v>0</v>
      </c>
      <c r="I75" s="920">
        <v>0</v>
      </c>
      <c r="J75" s="920">
        <v>0</v>
      </c>
      <c r="K75" s="920">
        <v>0</v>
      </c>
      <c r="L75" s="920">
        <v>0</v>
      </c>
      <c r="M75" s="920">
        <v>0</v>
      </c>
      <c r="N75" s="920">
        <v>0</v>
      </c>
      <c r="O75" s="921" t="str">
        <f t="shared" si="12"/>
        <v>Reserved Fund Balance - PIRC</v>
      </c>
      <c r="P75" s="921">
        <f t="shared" si="13"/>
        <v>0</v>
      </c>
    </row>
    <row r="76" spans="1:16" s="37" customFormat="1" x14ac:dyDescent="0.2">
      <c r="A76" s="45"/>
      <c r="B76" s="37" t="s">
        <v>303</v>
      </c>
      <c r="C76" s="920">
        <v>839711</v>
      </c>
      <c r="D76" s="920">
        <v>0</v>
      </c>
      <c r="E76" s="920">
        <v>0</v>
      </c>
      <c r="F76" s="920">
        <v>0</v>
      </c>
      <c r="G76" s="920">
        <v>0</v>
      </c>
      <c r="H76" s="920">
        <v>0</v>
      </c>
      <c r="I76" s="920">
        <v>0</v>
      </c>
      <c r="J76" s="920">
        <v>0</v>
      </c>
      <c r="K76" s="920">
        <v>0</v>
      </c>
      <c r="L76" s="920">
        <v>0</v>
      </c>
      <c r="M76" s="920">
        <v>0</v>
      </c>
      <c r="N76" s="920">
        <v>0</v>
      </c>
      <c r="O76" s="921" t="str">
        <f t="shared" si="12"/>
        <v>Reserved Opening Balance</v>
      </c>
      <c r="P76" s="921">
        <f t="shared" si="13"/>
        <v>839711</v>
      </c>
    </row>
    <row r="77" spans="1:16" s="37" customFormat="1" hidden="1" x14ac:dyDescent="0.2">
      <c r="A77" s="45"/>
      <c r="B77" s="37" t="s">
        <v>600</v>
      </c>
      <c r="C77" s="920">
        <v>0</v>
      </c>
      <c r="D77" s="920">
        <v>0</v>
      </c>
      <c r="E77" s="920">
        <v>0</v>
      </c>
      <c r="F77" s="920">
        <v>0</v>
      </c>
      <c r="G77" s="920">
        <v>0</v>
      </c>
      <c r="H77" s="920">
        <v>0</v>
      </c>
      <c r="I77" s="920">
        <v>0</v>
      </c>
      <c r="J77" s="920">
        <v>0</v>
      </c>
      <c r="K77" s="920">
        <v>0</v>
      </c>
      <c r="L77" s="920">
        <v>0</v>
      </c>
      <c r="M77" s="920">
        <v>0</v>
      </c>
      <c r="N77" s="920">
        <v>0</v>
      </c>
      <c r="O77" s="921" t="str">
        <f t="shared" si="12"/>
        <v>Unreserved Opening Balance</v>
      </c>
      <c r="P77" s="921">
        <f t="shared" si="13"/>
        <v>0</v>
      </c>
    </row>
    <row r="78" spans="1:16" s="37" customFormat="1" x14ac:dyDescent="0.2">
      <c r="A78" s="45"/>
      <c r="B78" s="37" t="s">
        <v>304</v>
      </c>
      <c r="C78" s="920">
        <v>1833306</v>
      </c>
      <c r="D78" s="920">
        <v>1349539</v>
      </c>
      <c r="E78" s="920">
        <v>0</v>
      </c>
      <c r="F78" s="920">
        <v>0</v>
      </c>
      <c r="G78" s="920">
        <v>0</v>
      </c>
      <c r="H78" s="920">
        <v>0</v>
      </c>
      <c r="I78" s="920">
        <v>0</v>
      </c>
      <c r="J78" s="920">
        <v>0</v>
      </c>
      <c r="K78" s="920">
        <v>0</v>
      </c>
      <c r="L78" s="920">
        <v>725394</v>
      </c>
      <c r="M78" s="920">
        <v>66854</v>
      </c>
      <c r="N78" s="920">
        <v>0</v>
      </c>
      <c r="O78" s="921" t="str">
        <f t="shared" si="12"/>
        <v>Opening Balance (Other)</v>
      </c>
      <c r="P78" s="921">
        <f t="shared" si="13"/>
        <v>3975093</v>
      </c>
    </row>
    <row r="79" spans="1:16" s="37" customFormat="1" hidden="1" x14ac:dyDescent="0.2">
      <c r="A79" s="45"/>
      <c r="B79" s="37" t="s">
        <v>305</v>
      </c>
      <c r="C79" s="920">
        <v>0</v>
      </c>
      <c r="D79" s="920">
        <v>0</v>
      </c>
      <c r="E79" s="920">
        <v>0</v>
      </c>
      <c r="F79" s="920">
        <v>0</v>
      </c>
      <c r="G79" s="920">
        <v>0</v>
      </c>
      <c r="H79" s="920">
        <v>0</v>
      </c>
      <c r="I79" s="920">
        <v>0</v>
      </c>
      <c r="J79" s="920">
        <v>0</v>
      </c>
      <c r="K79" s="920">
        <v>0</v>
      </c>
      <c r="L79" s="920">
        <v>0</v>
      </c>
      <c r="M79" s="920">
        <v>0</v>
      </c>
      <c r="N79" s="920">
        <v>0</v>
      </c>
      <c r="O79" s="921" t="str">
        <f t="shared" si="12"/>
        <v>Reverted to State</v>
      </c>
      <c r="P79" s="921">
        <f t="shared" si="13"/>
        <v>0</v>
      </c>
    </row>
    <row r="80" spans="1:16" x14ac:dyDescent="0.2">
      <c r="C80" s="916"/>
      <c r="D80" s="916"/>
      <c r="E80" s="916"/>
      <c r="F80" s="916"/>
      <c r="G80" s="916"/>
      <c r="H80" s="916"/>
      <c r="I80" s="916"/>
      <c r="J80" s="916"/>
      <c r="K80" s="916"/>
      <c r="L80" s="916"/>
      <c r="M80" s="916"/>
      <c r="N80" s="916"/>
      <c r="O80" s="908"/>
      <c r="P80" s="908"/>
    </row>
    <row r="81" spans="1:17" s="2" customFormat="1" x14ac:dyDescent="0.2">
      <c r="B81" s="39" t="s">
        <v>129</v>
      </c>
      <c r="C81" s="931">
        <f>SUM(C73:C80)</f>
        <v>2673017</v>
      </c>
      <c r="D81" s="931">
        <f t="shared" ref="D81:M81" si="14">SUM(D73:D80)</f>
        <v>1349539</v>
      </c>
      <c r="E81" s="931">
        <f t="shared" si="14"/>
        <v>0</v>
      </c>
      <c r="F81" s="931">
        <f t="shared" si="14"/>
        <v>0</v>
      </c>
      <c r="G81" s="931">
        <f t="shared" si="14"/>
        <v>0</v>
      </c>
      <c r="H81" s="931">
        <f t="shared" si="14"/>
        <v>0</v>
      </c>
      <c r="I81" s="931">
        <f t="shared" si="14"/>
        <v>0</v>
      </c>
      <c r="J81" s="931">
        <f t="shared" si="14"/>
        <v>0</v>
      </c>
      <c r="K81" s="931">
        <f t="shared" si="14"/>
        <v>0</v>
      </c>
      <c r="L81" s="931">
        <f t="shared" si="14"/>
        <v>725394</v>
      </c>
      <c r="M81" s="931">
        <f t="shared" si="14"/>
        <v>66854</v>
      </c>
      <c r="N81" s="931">
        <f>SUM(N73:N80)</f>
        <v>0</v>
      </c>
      <c r="O81" s="931">
        <f>SUM(C81:N81)</f>
        <v>4814804</v>
      </c>
      <c r="P81" s="903"/>
    </row>
    <row r="83" spans="1:17" x14ac:dyDescent="0.2">
      <c r="A83" s="22"/>
      <c r="B83" s="23" t="s">
        <v>306</v>
      </c>
      <c r="C83" s="24">
        <f>SUM(C81,C72)</f>
        <v>16384036</v>
      </c>
      <c r="D83" s="24">
        <f t="shared" ref="D83:N83" si="15">SUM(D81,D72)</f>
        <v>2881768</v>
      </c>
      <c r="E83" s="24">
        <f t="shared" si="15"/>
        <v>384311</v>
      </c>
      <c r="F83" s="24">
        <f t="shared" si="15"/>
        <v>840569</v>
      </c>
      <c r="G83" s="24">
        <f t="shared" si="15"/>
        <v>1892315</v>
      </c>
      <c r="H83" s="24">
        <f t="shared" si="15"/>
        <v>1733872</v>
      </c>
      <c r="I83" s="24">
        <f t="shared" si="15"/>
        <v>1733544</v>
      </c>
      <c r="J83" s="24">
        <f t="shared" si="15"/>
        <v>475006</v>
      </c>
      <c r="K83" s="24">
        <f t="shared" si="15"/>
        <v>15000</v>
      </c>
      <c r="L83" s="24">
        <f t="shared" si="15"/>
        <v>1239894</v>
      </c>
      <c r="M83" s="24">
        <f t="shared" si="15"/>
        <v>69604</v>
      </c>
      <c r="N83" s="24">
        <f t="shared" si="15"/>
        <v>-1554960</v>
      </c>
      <c r="O83" s="25">
        <f>SUM(C83:N83)</f>
        <v>26094959</v>
      </c>
      <c r="P83" s="26">
        <f>G1-O83</f>
        <v>0</v>
      </c>
      <c r="Q83" s="17"/>
    </row>
    <row r="84" spans="1:17" s="2" customFormat="1" x14ac:dyDescent="0.2">
      <c r="A84" s="27"/>
      <c r="B84" s="28" t="s">
        <v>131</v>
      </c>
      <c r="C84" s="285">
        <f t="shared" ref="C84:N84" si="16">SUM(C88:C223)</f>
        <v>16384036</v>
      </c>
      <c r="D84" s="285">
        <f t="shared" si="16"/>
        <v>2881768</v>
      </c>
      <c r="E84" s="285">
        <f t="shared" si="16"/>
        <v>384311</v>
      </c>
      <c r="F84" s="285">
        <f t="shared" si="16"/>
        <v>840569</v>
      </c>
      <c r="G84" s="285">
        <f t="shared" si="16"/>
        <v>1892315</v>
      </c>
      <c r="H84" s="285">
        <f t="shared" si="16"/>
        <v>1733872</v>
      </c>
      <c r="I84" s="285">
        <f t="shared" si="16"/>
        <v>1733544</v>
      </c>
      <c r="J84" s="285">
        <f t="shared" si="16"/>
        <v>475006</v>
      </c>
      <c r="K84" s="285">
        <f t="shared" si="16"/>
        <v>15000</v>
      </c>
      <c r="L84" s="285">
        <f t="shared" si="16"/>
        <v>1239894</v>
      </c>
      <c r="M84" s="285">
        <f t="shared" si="16"/>
        <v>69604</v>
      </c>
      <c r="N84" s="285">
        <f t="shared" si="16"/>
        <v>-1554960</v>
      </c>
      <c r="O84" s="29">
        <f>SUM(C84:N84)</f>
        <v>26094959</v>
      </c>
    </row>
    <row r="85" spans="1:17" s="3" customFormat="1" x14ac:dyDescent="0.2">
      <c r="A85" s="30"/>
      <c r="B85" s="286" t="s">
        <v>132</v>
      </c>
      <c r="C85" s="909">
        <f t="shared" ref="C85:O85" si="17">C83-C84</f>
        <v>0</v>
      </c>
      <c r="D85" s="909">
        <f>D83-D84</f>
        <v>0</v>
      </c>
      <c r="E85" s="909">
        <f>E83-E84</f>
        <v>0</v>
      </c>
      <c r="F85" s="909">
        <f t="shared" ref="F85:N85" si="18">F83-F84</f>
        <v>0</v>
      </c>
      <c r="G85" s="909">
        <f t="shared" si="18"/>
        <v>0</v>
      </c>
      <c r="H85" s="909">
        <f t="shared" si="18"/>
        <v>0</v>
      </c>
      <c r="I85" s="909">
        <f>I83-I84</f>
        <v>0</v>
      </c>
      <c r="J85" s="909">
        <f>J83-J84</f>
        <v>0</v>
      </c>
      <c r="K85" s="909">
        <f t="shared" si="18"/>
        <v>0</v>
      </c>
      <c r="L85" s="909">
        <f t="shared" si="18"/>
        <v>0</v>
      </c>
      <c r="M85" s="909">
        <f t="shared" si="18"/>
        <v>0</v>
      </c>
      <c r="N85" s="909">
        <f t="shared" si="18"/>
        <v>0</v>
      </c>
      <c r="O85" s="522">
        <f t="shared" si="17"/>
        <v>0</v>
      </c>
    </row>
    <row r="87" spans="1:17" x14ac:dyDescent="0.2">
      <c r="B87" s="2" t="s">
        <v>307</v>
      </c>
    </row>
    <row r="88" spans="1:17" x14ac:dyDescent="0.2">
      <c r="A88" s="2">
        <v>100</v>
      </c>
      <c r="B88" t="s">
        <v>134</v>
      </c>
      <c r="C88" s="916">
        <v>4271830</v>
      </c>
      <c r="D88" s="916">
        <v>0</v>
      </c>
      <c r="E88" s="916">
        <v>384311</v>
      </c>
      <c r="F88" s="916">
        <v>0</v>
      </c>
      <c r="G88" s="916">
        <v>518229</v>
      </c>
      <c r="H88" s="916">
        <v>0</v>
      </c>
      <c r="I88" s="916">
        <v>508840.25</v>
      </c>
      <c r="J88" s="916">
        <v>0</v>
      </c>
      <c r="K88" s="916">
        <v>0</v>
      </c>
      <c r="L88" s="916">
        <v>0</v>
      </c>
      <c r="M88" s="916">
        <v>0</v>
      </c>
      <c r="N88" s="916">
        <v>0</v>
      </c>
      <c r="O88" s="916">
        <f t="shared" ref="O88:O132" si="19">SUM(C88:N88)</f>
        <v>5683210.25</v>
      </c>
    </row>
    <row r="89" spans="1:17" x14ac:dyDescent="0.2">
      <c r="A89" s="2">
        <v>200</v>
      </c>
      <c r="B89" t="s">
        <v>135</v>
      </c>
      <c r="C89" s="916">
        <v>0</v>
      </c>
      <c r="D89" s="916">
        <v>0</v>
      </c>
      <c r="E89" s="916">
        <v>0</v>
      </c>
      <c r="F89" s="916">
        <v>0</v>
      </c>
      <c r="G89" s="916">
        <v>20000</v>
      </c>
      <c r="H89" s="916">
        <v>1281911</v>
      </c>
      <c r="I89" s="916">
        <v>340677.25</v>
      </c>
      <c r="J89" s="916">
        <v>0</v>
      </c>
      <c r="K89" s="916">
        <v>0</v>
      </c>
      <c r="L89" s="916">
        <v>0</v>
      </c>
      <c r="M89" s="916">
        <v>0</v>
      </c>
      <c r="N89" s="916">
        <v>0</v>
      </c>
      <c r="O89" s="916">
        <f t="shared" si="19"/>
        <v>1642588.25</v>
      </c>
    </row>
    <row r="90" spans="1:17" hidden="1" x14ac:dyDescent="0.2">
      <c r="A90" s="2" t="s">
        <v>10</v>
      </c>
      <c r="B90" t="s">
        <v>136</v>
      </c>
      <c r="C90" s="916">
        <v>0</v>
      </c>
      <c r="D90" s="916">
        <v>0</v>
      </c>
      <c r="E90" s="916">
        <v>0</v>
      </c>
      <c r="F90" s="916">
        <v>0</v>
      </c>
      <c r="G90" s="916">
        <v>0</v>
      </c>
      <c r="H90" s="916">
        <v>0</v>
      </c>
      <c r="I90" s="916">
        <v>0</v>
      </c>
      <c r="J90" s="916">
        <v>0</v>
      </c>
      <c r="K90" s="916">
        <v>0</v>
      </c>
      <c r="L90" s="916">
        <v>0</v>
      </c>
      <c r="M90" s="916">
        <v>0</v>
      </c>
      <c r="N90" s="916">
        <v>0</v>
      </c>
      <c r="O90" s="916">
        <f t="shared" si="19"/>
        <v>0</v>
      </c>
    </row>
    <row r="91" spans="1:17" hidden="1" x14ac:dyDescent="0.2">
      <c r="A91" s="2">
        <v>270</v>
      </c>
      <c r="B91" t="s">
        <v>137</v>
      </c>
      <c r="C91" s="916">
        <v>0</v>
      </c>
      <c r="D91" s="916">
        <v>0</v>
      </c>
      <c r="E91" s="916">
        <v>0</v>
      </c>
      <c r="F91" s="916">
        <v>0</v>
      </c>
      <c r="G91" s="916">
        <v>0</v>
      </c>
      <c r="H91" s="916">
        <v>0</v>
      </c>
      <c r="I91" s="916">
        <v>0</v>
      </c>
      <c r="J91" s="916">
        <v>0</v>
      </c>
      <c r="K91" s="916">
        <v>0</v>
      </c>
      <c r="L91" s="916">
        <v>0</v>
      </c>
      <c r="M91" s="916">
        <v>0</v>
      </c>
      <c r="N91" s="916">
        <v>0</v>
      </c>
      <c r="O91" s="916">
        <f t="shared" si="19"/>
        <v>0</v>
      </c>
    </row>
    <row r="92" spans="1:17" hidden="1" x14ac:dyDescent="0.2">
      <c r="A92" s="2" t="s">
        <v>10</v>
      </c>
      <c r="B92" t="s">
        <v>138</v>
      </c>
      <c r="C92" s="916">
        <v>0</v>
      </c>
      <c r="D92" s="916">
        <v>0</v>
      </c>
      <c r="E92" s="916">
        <v>0</v>
      </c>
      <c r="F92" s="916">
        <v>0</v>
      </c>
      <c r="G92" s="916">
        <v>0</v>
      </c>
      <c r="H92" s="916">
        <v>0</v>
      </c>
      <c r="I92" s="916">
        <v>0</v>
      </c>
      <c r="J92" s="916">
        <v>0</v>
      </c>
      <c r="K92" s="916">
        <v>0</v>
      </c>
      <c r="L92" s="916">
        <v>0</v>
      </c>
      <c r="M92" s="916">
        <v>0</v>
      </c>
      <c r="N92" s="916">
        <v>0</v>
      </c>
      <c r="O92" s="916">
        <f t="shared" si="19"/>
        <v>0</v>
      </c>
    </row>
    <row r="93" spans="1:17" x14ac:dyDescent="0.2">
      <c r="A93" s="2">
        <v>300</v>
      </c>
      <c r="B93" t="s">
        <v>139</v>
      </c>
      <c r="C93" s="916">
        <v>211454</v>
      </c>
      <c r="D93" s="916">
        <v>0</v>
      </c>
      <c r="E93" s="916">
        <v>0</v>
      </c>
      <c r="F93" s="916">
        <v>0</v>
      </c>
      <c r="G93" s="916">
        <v>367447</v>
      </c>
      <c r="H93" s="916">
        <v>0</v>
      </c>
      <c r="I93" s="916">
        <v>15668.25</v>
      </c>
      <c r="J93" s="916">
        <v>0</v>
      </c>
      <c r="K93" s="916">
        <v>0</v>
      </c>
      <c r="L93" s="916">
        <v>0</v>
      </c>
      <c r="M93" s="916">
        <v>0</v>
      </c>
      <c r="N93" s="916">
        <v>0</v>
      </c>
      <c r="O93" s="916">
        <f t="shared" si="19"/>
        <v>594569.25</v>
      </c>
    </row>
    <row r="94" spans="1:17" hidden="1" x14ac:dyDescent="0.2">
      <c r="A94" s="2">
        <v>400</v>
      </c>
      <c r="B94" t="s">
        <v>140</v>
      </c>
      <c r="C94" s="916">
        <v>0</v>
      </c>
      <c r="D94" s="916">
        <v>0</v>
      </c>
      <c r="E94" s="916">
        <v>0</v>
      </c>
      <c r="F94" s="916">
        <v>0</v>
      </c>
      <c r="G94" s="916">
        <v>0</v>
      </c>
      <c r="H94" s="916">
        <v>0</v>
      </c>
      <c r="I94" s="916">
        <v>0</v>
      </c>
      <c r="J94" s="916">
        <v>0</v>
      </c>
      <c r="K94" s="916">
        <v>0</v>
      </c>
      <c r="L94" s="916">
        <v>0</v>
      </c>
      <c r="M94" s="916">
        <v>0</v>
      </c>
      <c r="N94" s="916">
        <v>0</v>
      </c>
      <c r="O94" s="916">
        <f t="shared" si="19"/>
        <v>0</v>
      </c>
    </row>
    <row r="95" spans="1:17" hidden="1" x14ac:dyDescent="0.2">
      <c r="A95" s="2" t="s">
        <v>10</v>
      </c>
      <c r="B95" t="s">
        <v>141</v>
      </c>
      <c r="C95" s="916">
        <v>0</v>
      </c>
      <c r="D95" s="916">
        <v>0</v>
      </c>
      <c r="E95" s="916">
        <v>0</v>
      </c>
      <c r="F95" s="916">
        <v>0</v>
      </c>
      <c r="G95" s="916">
        <v>0</v>
      </c>
      <c r="H95" s="916">
        <v>0</v>
      </c>
      <c r="I95" s="916">
        <v>0</v>
      </c>
      <c r="J95" s="916">
        <v>0</v>
      </c>
      <c r="K95" s="916">
        <v>0</v>
      </c>
      <c r="L95" s="916">
        <v>0</v>
      </c>
      <c r="M95" s="916">
        <v>0</v>
      </c>
      <c r="N95" s="916">
        <v>0</v>
      </c>
      <c r="O95" s="916">
        <f t="shared" si="19"/>
        <v>0</v>
      </c>
    </row>
    <row r="96" spans="1:17" hidden="1" x14ac:dyDescent="0.2">
      <c r="A96" s="2" t="s">
        <v>10</v>
      </c>
      <c r="B96" t="s">
        <v>142</v>
      </c>
      <c r="C96" s="916">
        <v>0</v>
      </c>
      <c r="D96" s="916">
        <v>0</v>
      </c>
      <c r="E96" s="916">
        <v>0</v>
      </c>
      <c r="F96" s="916">
        <v>0</v>
      </c>
      <c r="G96" s="916">
        <v>0</v>
      </c>
      <c r="H96" s="916">
        <v>0</v>
      </c>
      <c r="I96" s="916">
        <v>0</v>
      </c>
      <c r="J96" s="916">
        <v>0</v>
      </c>
      <c r="K96" s="916">
        <v>0</v>
      </c>
      <c r="L96" s="916">
        <v>0</v>
      </c>
      <c r="M96" s="916">
        <v>0</v>
      </c>
      <c r="N96" s="916">
        <v>0</v>
      </c>
      <c r="O96" s="916">
        <f t="shared" si="19"/>
        <v>0</v>
      </c>
    </row>
    <row r="97" spans="1:15" hidden="1" x14ac:dyDescent="0.2">
      <c r="A97" s="2">
        <v>430</v>
      </c>
      <c r="B97" s="3" t="s">
        <v>548</v>
      </c>
      <c r="C97" s="916">
        <v>0</v>
      </c>
      <c r="D97" s="916">
        <v>0</v>
      </c>
      <c r="E97" s="916">
        <v>0</v>
      </c>
      <c r="F97" s="916">
        <v>0</v>
      </c>
      <c r="G97" s="916">
        <v>0</v>
      </c>
      <c r="H97" s="916">
        <v>0</v>
      </c>
      <c r="I97" s="916">
        <v>0</v>
      </c>
      <c r="J97" s="916">
        <v>0</v>
      </c>
      <c r="K97" s="916">
        <v>0</v>
      </c>
      <c r="L97" s="916">
        <v>0</v>
      </c>
      <c r="M97" s="916">
        <v>0</v>
      </c>
      <c r="N97" s="916">
        <v>0</v>
      </c>
      <c r="O97" s="916">
        <f t="shared" si="19"/>
        <v>0</v>
      </c>
    </row>
    <row r="98" spans="1:15" hidden="1" x14ac:dyDescent="0.2">
      <c r="A98" s="2">
        <v>440</v>
      </c>
      <c r="B98" t="s">
        <v>143</v>
      </c>
      <c r="C98" s="916">
        <v>0</v>
      </c>
      <c r="D98" s="916">
        <v>0</v>
      </c>
      <c r="E98" s="916">
        <v>0</v>
      </c>
      <c r="F98" s="916">
        <v>0</v>
      </c>
      <c r="G98" s="916">
        <v>0</v>
      </c>
      <c r="H98" s="916">
        <v>0</v>
      </c>
      <c r="I98" s="916">
        <v>0</v>
      </c>
      <c r="J98" s="916">
        <v>0</v>
      </c>
      <c r="K98" s="916">
        <v>0</v>
      </c>
      <c r="L98" s="916">
        <v>0</v>
      </c>
      <c r="M98" s="916">
        <v>0</v>
      </c>
      <c r="N98" s="916">
        <v>0</v>
      </c>
      <c r="O98" s="916">
        <f t="shared" si="19"/>
        <v>0</v>
      </c>
    </row>
    <row r="99" spans="1:15" hidden="1" x14ac:dyDescent="0.2">
      <c r="A99" s="2">
        <v>500</v>
      </c>
      <c r="B99" t="s">
        <v>144</v>
      </c>
      <c r="C99" s="916">
        <v>0</v>
      </c>
      <c r="D99" s="916">
        <v>0</v>
      </c>
      <c r="E99" s="916">
        <v>0</v>
      </c>
      <c r="F99" s="916">
        <v>0</v>
      </c>
      <c r="G99" s="916">
        <v>0</v>
      </c>
      <c r="H99" s="916">
        <v>0</v>
      </c>
      <c r="I99" s="916">
        <v>0</v>
      </c>
      <c r="J99" s="916">
        <v>0</v>
      </c>
      <c r="K99" s="916">
        <v>0</v>
      </c>
      <c r="L99" s="916">
        <v>0</v>
      </c>
      <c r="M99" s="916">
        <v>0</v>
      </c>
      <c r="N99" s="916">
        <v>0</v>
      </c>
      <c r="O99" s="916">
        <f t="shared" si="19"/>
        <v>0</v>
      </c>
    </row>
    <row r="100" spans="1:15" x14ac:dyDescent="0.2">
      <c r="A100" s="2">
        <v>600</v>
      </c>
      <c r="B100" t="s">
        <v>145</v>
      </c>
      <c r="C100" s="916">
        <v>0</v>
      </c>
      <c r="D100" s="916">
        <v>0</v>
      </c>
      <c r="E100" s="916">
        <v>0</v>
      </c>
      <c r="F100" s="916">
        <v>698495</v>
      </c>
      <c r="G100" s="916">
        <v>0</v>
      </c>
      <c r="H100" s="916">
        <v>0</v>
      </c>
      <c r="I100" s="916">
        <v>0</v>
      </c>
      <c r="J100" s="916">
        <v>0</v>
      </c>
      <c r="K100" s="916">
        <v>0</v>
      </c>
      <c r="L100" s="916">
        <v>0</v>
      </c>
      <c r="M100" s="916">
        <v>0</v>
      </c>
      <c r="N100" s="916">
        <v>0</v>
      </c>
      <c r="O100" s="916">
        <f t="shared" si="19"/>
        <v>698495</v>
      </c>
    </row>
    <row r="101" spans="1:15" hidden="1" x14ac:dyDescent="0.2">
      <c r="A101" s="2">
        <v>800</v>
      </c>
      <c r="B101" t="s">
        <v>146</v>
      </c>
      <c r="C101" s="916">
        <v>0</v>
      </c>
      <c r="D101" s="916">
        <v>0</v>
      </c>
      <c r="E101" s="916">
        <v>0</v>
      </c>
      <c r="F101" s="916">
        <v>0</v>
      </c>
      <c r="G101" s="916">
        <v>0</v>
      </c>
      <c r="H101" s="916">
        <v>0</v>
      </c>
      <c r="I101" s="916">
        <v>0</v>
      </c>
      <c r="J101" s="916">
        <v>0</v>
      </c>
      <c r="K101" s="916">
        <v>0</v>
      </c>
      <c r="L101" s="916">
        <v>0</v>
      </c>
      <c r="M101" s="916">
        <v>0</v>
      </c>
      <c r="N101" s="916">
        <v>0</v>
      </c>
      <c r="O101" s="916">
        <f t="shared" si="19"/>
        <v>0</v>
      </c>
    </row>
    <row r="102" spans="1:15" x14ac:dyDescent="0.2">
      <c r="A102" s="2">
        <v>910</v>
      </c>
      <c r="B102" t="s">
        <v>147</v>
      </c>
      <c r="C102" s="916">
        <v>109991</v>
      </c>
      <c r="D102" s="916">
        <v>0</v>
      </c>
      <c r="E102" s="916">
        <v>0</v>
      </c>
      <c r="F102" s="916">
        <v>0</v>
      </c>
      <c r="G102" s="916">
        <v>0</v>
      </c>
      <c r="H102" s="916">
        <v>0</v>
      </c>
      <c r="I102" s="916">
        <v>0</v>
      </c>
      <c r="J102" s="916">
        <v>0</v>
      </c>
      <c r="K102" s="916">
        <v>5000</v>
      </c>
      <c r="L102" s="916">
        <v>0</v>
      </c>
      <c r="M102" s="916">
        <v>0</v>
      </c>
      <c r="N102" s="916">
        <v>0</v>
      </c>
      <c r="O102" s="916">
        <f t="shared" si="19"/>
        <v>114991</v>
      </c>
    </row>
    <row r="103" spans="1:15" x14ac:dyDescent="0.2">
      <c r="A103" s="2">
        <v>920</v>
      </c>
      <c r="B103" t="s">
        <v>148</v>
      </c>
      <c r="C103" s="916">
        <v>301315</v>
      </c>
      <c r="D103" s="916">
        <v>0</v>
      </c>
      <c r="E103" s="916">
        <v>0</v>
      </c>
      <c r="F103" s="916">
        <v>0</v>
      </c>
      <c r="G103" s="916">
        <v>0</v>
      </c>
      <c r="H103" s="916">
        <v>0</v>
      </c>
      <c r="I103" s="916">
        <v>0</v>
      </c>
      <c r="J103" s="916">
        <v>0</v>
      </c>
      <c r="K103" s="916">
        <v>0</v>
      </c>
      <c r="L103" s="916">
        <v>0</v>
      </c>
      <c r="M103" s="916">
        <v>0</v>
      </c>
      <c r="N103" s="916">
        <v>0</v>
      </c>
      <c r="O103" s="916">
        <f t="shared" si="19"/>
        <v>301315</v>
      </c>
    </row>
    <row r="104" spans="1:15" x14ac:dyDescent="0.2">
      <c r="C104" s="916"/>
      <c r="D104" s="916"/>
      <c r="E104" s="916"/>
      <c r="F104" s="916"/>
      <c r="G104" s="916"/>
      <c r="H104" s="916"/>
      <c r="I104" s="916"/>
      <c r="J104" s="916"/>
      <c r="K104" s="916"/>
      <c r="L104" s="916"/>
      <c r="M104" s="916"/>
      <c r="N104" s="916"/>
      <c r="O104" s="916">
        <f t="shared" si="19"/>
        <v>0</v>
      </c>
    </row>
    <row r="105" spans="1:15" x14ac:dyDescent="0.2">
      <c r="A105" s="2" t="s">
        <v>149</v>
      </c>
      <c r="B105" s="2" t="s">
        <v>150</v>
      </c>
      <c r="C105" s="916"/>
      <c r="D105" s="916"/>
      <c r="E105" s="916"/>
      <c r="F105" s="916"/>
      <c r="G105" s="916"/>
      <c r="H105" s="916"/>
      <c r="I105" s="916"/>
      <c r="J105" s="916"/>
      <c r="K105" s="916"/>
      <c r="L105" s="916"/>
      <c r="M105" s="916"/>
      <c r="N105" s="916"/>
      <c r="O105" s="916">
        <f t="shared" si="19"/>
        <v>0</v>
      </c>
    </row>
    <row r="106" spans="1:15" x14ac:dyDescent="0.2">
      <c r="A106" s="2">
        <v>2100</v>
      </c>
      <c r="B106" t="s">
        <v>151</v>
      </c>
      <c r="C106" s="916">
        <v>175610</v>
      </c>
      <c r="D106" s="916">
        <v>0</v>
      </c>
      <c r="E106" s="916">
        <v>0</v>
      </c>
      <c r="F106" s="916">
        <v>0</v>
      </c>
      <c r="G106" s="916">
        <v>318618.5</v>
      </c>
      <c r="H106" s="916">
        <v>331513</v>
      </c>
      <c r="I106" s="916">
        <v>203931.25</v>
      </c>
      <c r="J106" s="916">
        <v>0</v>
      </c>
      <c r="K106" s="916">
        <v>5100</v>
      </c>
      <c r="L106" s="916">
        <v>0</v>
      </c>
      <c r="M106" s="916">
        <v>0</v>
      </c>
      <c r="N106" s="916">
        <v>0</v>
      </c>
      <c r="O106" s="916">
        <f t="shared" si="19"/>
        <v>1034772.75</v>
      </c>
    </row>
    <row r="107" spans="1:15" x14ac:dyDescent="0.2">
      <c r="A107" s="2">
        <v>2200</v>
      </c>
      <c r="B107" t="s">
        <v>152</v>
      </c>
      <c r="C107" s="916">
        <v>6101</v>
      </c>
      <c r="D107" s="916">
        <v>0</v>
      </c>
      <c r="E107" s="916">
        <v>0</v>
      </c>
      <c r="F107" s="916">
        <v>1500</v>
      </c>
      <c r="G107" s="916">
        <v>360934.5</v>
      </c>
      <c r="H107" s="916">
        <v>10592</v>
      </c>
      <c r="I107" s="916">
        <v>424673.25</v>
      </c>
      <c r="J107" s="916">
        <v>0</v>
      </c>
      <c r="K107" s="916">
        <v>0</v>
      </c>
      <c r="L107" s="916">
        <v>0</v>
      </c>
      <c r="M107" s="916">
        <v>0</v>
      </c>
      <c r="N107" s="916">
        <v>0</v>
      </c>
      <c r="O107" s="916">
        <f t="shared" si="19"/>
        <v>803800.75</v>
      </c>
    </row>
    <row r="108" spans="1:15" x14ac:dyDescent="0.2">
      <c r="A108" s="22">
        <v>2300</v>
      </c>
      <c r="B108" s="303" t="s">
        <v>153</v>
      </c>
      <c r="C108" s="916">
        <v>468844</v>
      </c>
      <c r="D108" s="916">
        <v>0</v>
      </c>
      <c r="E108" s="916">
        <v>0</v>
      </c>
      <c r="F108" s="916">
        <v>0</v>
      </c>
      <c r="G108" s="916">
        <v>18971</v>
      </c>
      <c r="H108" s="916">
        <v>109856</v>
      </c>
      <c r="I108" s="916">
        <v>208846.25</v>
      </c>
      <c r="J108" s="916">
        <v>0</v>
      </c>
      <c r="K108" s="916">
        <v>800</v>
      </c>
      <c r="L108" s="916">
        <v>0</v>
      </c>
      <c r="M108" s="916">
        <v>0</v>
      </c>
      <c r="N108" s="916">
        <v>0</v>
      </c>
      <c r="O108" s="916">
        <f t="shared" si="19"/>
        <v>807317.25</v>
      </c>
    </row>
    <row r="109" spans="1:15" x14ac:dyDescent="0.2">
      <c r="A109" s="30">
        <v>2400</v>
      </c>
      <c r="B109" s="304" t="s">
        <v>154</v>
      </c>
      <c r="C109" s="916">
        <v>1323623</v>
      </c>
      <c r="D109" s="916">
        <v>0</v>
      </c>
      <c r="E109" s="916">
        <v>0</v>
      </c>
      <c r="F109" s="916">
        <v>140574</v>
      </c>
      <c r="G109" s="916">
        <v>115369</v>
      </c>
      <c r="H109" s="916">
        <v>0</v>
      </c>
      <c r="I109" s="916">
        <v>21798.25</v>
      </c>
      <c r="J109" s="916">
        <v>0</v>
      </c>
      <c r="K109" s="916">
        <v>0</v>
      </c>
      <c r="L109" s="916">
        <v>0</v>
      </c>
      <c r="M109" s="916">
        <v>0</v>
      </c>
      <c r="N109" s="916">
        <v>0</v>
      </c>
      <c r="O109" s="916">
        <f t="shared" si="19"/>
        <v>1601364.25</v>
      </c>
    </row>
    <row r="110" spans="1:15" x14ac:dyDescent="0.2">
      <c r="A110" s="2">
        <v>2500</v>
      </c>
      <c r="B110" t="s">
        <v>155</v>
      </c>
      <c r="C110" s="916">
        <v>1159969</v>
      </c>
      <c r="D110" s="916">
        <v>0</v>
      </c>
      <c r="E110" s="916">
        <v>0</v>
      </c>
      <c r="F110" s="916">
        <v>0</v>
      </c>
      <c r="G110" s="916">
        <v>172746</v>
      </c>
      <c r="H110" s="916">
        <v>0</v>
      </c>
      <c r="I110" s="916">
        <v>1758</v>
      </c>
      <c r="J110" s="916">
        <v>0</v>
      </c>
      <c r="K110" s="916">
        <v>4100</v>
      </c>
      <c r="L110" s="916">
        <v>0</v>
      </c>
      <c r="M110" s="916">
        <v>0</v>
      </c>
      <c r="N110" s="916">
        <v>0</v>
      </c>
      <c r="O110" s="916">
        <f t="shared" si="19"/>
        <v>1338573</v>
      </c>
    </row>
    <row r="111" spans="1:15" x14ac:dyDescent="0.2">
      <c r="A111" s="2">
        <v>2600</v>
      </c>
      <c r="B111" t="s">
        <v>156</v>
      </c>
      <c r="C111" s="916">
        <v>2300191</v>
      </c>
      <c r="D111" s="916">
        <v>0</v>
      </c>
      <c r="E111" s="916">
        <v>0</v>
      </c>
      <c r="F111" s="916">
        <v>0</v>
      </c>
      <c r="G111" s="916">
        <v>0</v>
      </c>
      <c r="H111" s="916">
        <v>0</v>
      </c>
      <c r="I111" s="916">
        <v>0</v>
      </c>
      <c r="J111" s="916">
        <v>0</v>
      </c>
      <c r="K111" s="916">
        <v>0</v>
      </c>
      <c r="L111" s="916">
        <v>442821</v>
      </c>
      <c r="M111" s="916">
        <v>69604</v>
      </c>
      <c r="N111" s="916">
        <v>0</v>
      </c>
      <c r="O111" s="916">
        <f t="shared" si="19"/>
        <v>2812616</v>
      </c>
    </row>
    <row r="112" spans="1:15" x14ac:dyDescent="0.2">
      <c r="A112" s="2">
        <v>2700</v>
      </c>
      <c r="B112" t="s">
        <v>157</v>
      </c>
      <c r="C112" s="916">
        <v>1357934</v>
      </c>
      <c r="D112" s="916">
        <v>0</v>
      </c>
      <c r="E112" s="916">
        <v>0</v>
      </c>
      <c r="F112" s="916">
        <v>0</v>
      </c>
      <c r="G112" s="916">
        <v>0</v>
      </c>
      <c r="H112" s="916">
        <v>0</v>
      </c>
      <c r="I112" s="916">
        <v>0</v>
      </c>
      <c r="J112" s="916">
        <v>0</v>
      </c>
      <c r="K112" s="916">
        <v>0</v>
      </c>
      <c r="L112" s="916">
        <v>359986</v>
      </c>
      <c r="M112" s="916">
        <v>0</v>
      </c>
      <c r="N112" s="916">
        <v>0</v>
      </c>
      <c r="O112" s="916">
        <f t="shared" si="19"/>
        <v>1717920</v>
      </c>
    </row>
    <row r="113" spans="1:15" x14ac:dyDescent="0.2">
      <c r="A113" s="2">
        <v>2900</v>
      </c>
      <c r="B113" t="s">
        <v>158</v>
      </c>
      <c r="C113" s="916">
        <v>249137</v>
      </c>
      <c r="D113" s="916">
        <v>0</v>
      </c>
      <c r="E113" s="916">
        <v>0</v>
      </c>
      <c r="F113" s="916">
        <v>0</v>
      </c>
      <c r="G113" s="916">
        <v>0</v>
      </c>
      <c r="H113" s="916">
        <v>0</v>
      </c>
      <c r="I113" s="916">
        <v>5151.25</v>
      </c>
      <c r="J113" s="916">
        <v>0</v>
      </c>
      <c r="K113" s="916">
        <v>0</v>
      </c>
      <c r="L113" s="916">
        <v>0</v>
      </c>
      <c r="M113" s="916">
        <v>0</v>
      </c>
      <c r="N113" s="916">
        <v>0</v>
      </c>
      <c r="O113" s="916">
        <f t="shared" si="19"/>
        <v>254288.25</v>
      </c>
    </row>
    <row r="114" spans="1:15" ht="13.9" hidden="1" customHeight="1" x14ac:dyDescent="0.2">
      <c r="A114" s="2">
        <v>3000</v>
      </c>
      <c r="B114" t="s">
        <v>159</v>
      </c>
      <c r="C114" s="916">
        <v>0</v>
      </c>
      <c r="D114" s="916">
        <v>0</v>
      </c>
      <c r="E114" s="916">
        <v>0</v>
      </c>
      <c r="F114" s="916">
        <v>0</v>
      </c>
      <c r="G114" s="916">
        <v>0</v>
      </c>
      <c r="H114" s="916">
        <v>0</v>
      </c>
      <c r="I114" s="916">
        <v>0</v>
      </c>
      <c r="J114" s="916">
        <v>0</v>
      </c>
      <c r="K114" s="916">
        <v>0</v>
      </c>
      <c r="L114" s="916">
        <v>0</v>
      </c>
      <c r="M114" s="916">
        <v>0</v>
      </c>
      <c r="N114" s="916">
        <v>0</v>
      </c>
      <c r="O114" s="916">
        <f t="shared" si="19"/>
        <v>0</v>
      </c>
    </row>
    <row r="115" spans="1:15" x14ac:dyDescent="0.2">
      <c r="A115" s="2">
        <v>3100</v>
      </c>
      <c r="B115" t="s">
        <v>160</v>
      </c>
      <c r="C115" s="916">
        <v>0</v>
      </c>
      <c r="D115" s="916">
        <v>0</v>
      </c>
      <c r="E115" s="916">
        <v>0</v>
      </c>
      <c r="F115" s="916">
        <v>0</v>
      </c>
      <c r="G115" s="916">
        <v>0</v>
      </c>
      <c r="H115" s="916">
        <v>0</v>
      </c>
      <c r="I115" s="916">
        <v>0</v>
      </c>
      <c r="J115" s="916">
        <v>475006</v>
      </c>
      <c r="K115" s="916">
        <v>0</v>
      </c>
      <c r="L115" s="916">
        <v>0</v>
      </c>
      <c r="M115" s="916">
        <v>0</v>
      </c>
      <c r="N115" s="916">
        <v>0</v>
      </c>
      <c r="O115" s="916">
        <f t="shared" si="19"/>
        <v>475006</v>
      </c>
    </row>
    <row r="116" spans="1:15" hidden="1" x14ac:dyDescent="0.2">
      <c r="A116" s="2">
        <v>3200</v>
      </c>
      <c r="B116" t="s">
        <v>161</v>
      </c>
      <c r="C116" s="916">
        <v>0</v>
      </c>
      <c r="D116" s="916">
        <v>0</v>
      </c>
      <c r="E116" s="916">
        <v>0</v>
      </c>
      <c r="F116" s="916">
        <v>0</v>
      </c>
      <c r="G116" s="916">
        <v>0</v>
      </c>
      <c r="H116" s="916">
        <v>0</v>
      </c>
      <c r="I116" s="916">
        <v>0</v>
      </c>
      <c r="J116" s="916">
        <v>0</v>
      </c>
      <c r="K116" s="916">
        <v>0</v>
      </c>
      <c r="L116" s="916">
        <v>0</v>
      </c>
      <c r="M116" s="916">
        <v>0</v>
      </c>
      <c r="N116" s="916">
        <v>0</v>
      </c>
      <c r="O116" s="916">
        <f t="shared" si="19"/>
        <v>0</v>
      </c>
    </row>
    <row r="117" spans="1:15" hidden="1" x14ac:dyDescent="0.2">
      <c r="A117" s="2">
        <v>3300</v>
      </c>
      <c r="B117" t="s">
        <v>162</v>
      </c>
      <c r="C117" s="916">
        <v>0</v>
      </c>
      <c r="D117" s="916">
        <v>0</v>
      </c>
      <c r="E117" s="916">
        <v>0</v>
      </c>
      <c r="F117" s="916">
        <v>0</v>
      </c>
      <c r="G117" s="916">
        <v>0</v>
      </c>
      <c r="H117" s="916">
        <v>0</v>
      </c>
      <c r="I117" s="916">
        <v>0</v>
      </c>
      <c r="J117" s="916">
        <v>0</v>
      </c>
      <c r="K117" s="916">
        <v>0</v>
      </c>
      <c r="L117" s="916">
        <v>0</v>
      </c>
      <c r="M117" s="916">
        <v>0</v>
      </c>
      <c r="N117" s="916">
        <v>0</v>
      </c>
      <c r="O117" s="916">
        <f t="shared" si="19"/>
        <v>0</v>
      </c>
    </row>
    <row r="118" spans="1:15" hidden="1" x14ac:dyDescent="0.2">
      <c r="A118" s="2">
        <v>4000</v>
      </c>
      <c r="B118" t="s">
        <v>164</v>
      </c>
      <c r="C118" s="916">
        <v>0</v>
      </c>
      <c r="D118" s="916">
        <v>0</v>
      </c>
      <c r="E118" s="916">
        <v>0</v>
      </c>
      <c r="F118" s="916">
        <v>0</v>
      </c>
      <c r="G118" s="916">
        <v>0</v>
      </c>
      <c r="H118" s="916">
        <v>0</v>
      </c>
      <c r="I118" s="916">
        <v>0</v>
      </c>
      <c r="J118" s="916">
        <v>0</v>
      </c>
      <c r="K118" s="916">
        <v>0</v>
      </c>
      <c r="L118" s="916">
        <v>0</v>
      </c>
      <c r="M118" s="916">
        <v>0</v>
      </c>
      <c r="N118" s="916">
        <v>0</v>
      </c>
      <c r="O118" s="916">
        <f t="shared" si="19"/>
        <v>0</v>
      </c>
    </row>
    <row r="119" spans="1:15" hidden="1" x14ac:dyDescent="0.2">
      <c r="A119" s="2">
        <v>4100</v>
      </c>
      <c r="B119" t="s">
        <v>163</v>
      </c>
      <c r="C119" s="916">
        <v>0</v>
      </c>
      <c r="D119" s="916">
        <v>0</v>
      </c>
      <c r="E119" s="916">
        <v>0</v>
      </c>
      <c r="F119" s="916">
        <v>0</v>
      </c>
      <c r="G119" s="916">
        <v>0</v>
      </c>
      <c r="H119" s="916">
        <v>0</v>
      </c>
      <c r="I119" s="916">
        <v>0</v>
      </c>
      <c r="J119" s="916">
        <v>0</v>
      </c>
      <c r="K119" s="916">
        <v>0</v>
      </c>
      <c r="L119" s="916">
        <v>0</v>
      </c>
      <c r="M119" s="916">
        <v>0</v>
      </c>
      <c r="N119" s="916">
        <v>0</v>
      </c>
      <c r="O119" s="916">
        <f t="shared" si="19"/>
        <v>0</v>
      </c>
    </row>
    <row r="120" spans="1:15" hidden="1" x14ac:dyDescent="0.2">
      <c r="A120" s="2">
        <v>4200</v>
      </c>
      <c r="B120" t="s">
        <v>165</v>
      </c>
      <c r="C120" s="916">
        <v>0</v>
      </c>
      <c r="D120" s="916">
        <v>0</v>
      </c>
      <c r="E120" s="916">
        <v>0</v>
      </c>
      <c r="F120" s="916">
        <v>0</v>
      </c>
      <c r="G120" s="916">
        <v>0</v>
      </c>
      <c r="H120" s="916">
        <v>0</v>
      </c>
      <c r="I120" s="916">
        <v>0</v>
      </c>
      <c r="J120" s="916">
        <v>0</v>
      </c>
      <c r="K120" s="916">
        <v>0</v>
      </c>
      <c r="L120" s="916">
        <v>0</v>
      </c>
      <c r="M120" s="916">
        <v>0</v>
      </c>
      <c r="N120" s="916">
        <v>0</v>
      </c>
      <c r="O120" s="916">
        <f t="shared" si="19"/>
        <v>0</v>
      </c>
    </row>
    <row r="121" spans="1:15" hidden="1" x14ac:dyDescent="0.2">
      <c r="A121" s="2">
        <v>4300</v>
      </c>
      <c r="B121" t="s">
        <v>166</v>
      </c>
      <c r="C121" s="916">
        <v>0</v>
      </c>
      <c r="D121" s="916">
        <v>0</v>
      </c>
      <c r="E121" s="916">
        <v>0</v>
      </c>
      <c r="F121" s="916">
        <v>0</v>
      </c>
      <c r="G121" s="916">
        <v>0</v>
      </c>
      <c r="H121" s="916">
        <v>0</v>
      </c>
      <c r="I121" s="916">
        <v>0</v>
      </c>
      <c r="J121" s="916">
        <v>0</v>
      </c>
      <c r="K121" s="916">
        <v>0</v>
      </c>
      <c r="L121" s="916">
        <v>0</v>
      </c>
      <c r="M121" s="916">
        <v>0</v>
      </c>
      <c r="N121" s="916">
        <v>0</v>
      </c>
      <c r="O121" s="916">
        <f t="shared" si="19"/>
        <v>0</v>
      </c>
    </row>
    <row r="122" spans="1:15" hidden="1" x14ac:dyDescent="0.2">
      <c r="A122" s="2">
        <v>4400</v>
      </c>
      <c r="B122" t="s">
        <v>167</v>
      </c>
      <c r="C122" s="916">
        <v>0</v>
      </c>
      <c r="D122" s="916">
        <v>0</v>
      </c>
      <c r="E122" s="916">
        <v>0</v>
      </c>
      <c r="F122" s="916">
        <v>0</v>
      </c>
      <c r="G122" s="916">
        <v>0</v>
      </c>
      <c r="H122" s="916">
        <v>0</v>
      </c>
      <c r="I122" s="916">
        <v>0</v>
      </c>
      <c r="J122" s="916">
        <v>0</v>
      </c>
      <c r="K122" s="916">
        <v>0</v>
      </c>
      <c r="L122" s="916">
        <v>0</v>
      </c>
      <c r="M122" s="916">
        <v>0</v>
      </c>
      <c r="N122" s="916">
        <v>0</v>
      </c>
      <c r="O122" s="916">
        <f t="shared" si="19"/>
        <v>0</v>
      </c>
    </row>
    <row r="123" spans="1:15" hidden="1" x14ac:dyDescent="0.2">
      <c r="A123" s="2">
        <v>4500</v>
      </c>
      <c r="B123" t="s">
        <v>168</v>
      </c>
      <c r="C123" s="916">
        <v>0</v>
      </c>
      <c r="D123" s="916">
        <v>0</v>
      </c>
      <c r="E123" s="916">
        <v>0</v>
      </c>
      <c r="F123" s="916">
        <v>0</v>
      </c>
      <c r="G123" s="916">
        <v>0</v>
      </c>
      <c r="H123" s="916">
        <v>0</v>
      </c>
      <c r="I123" s="916">
        <v>0</v>
      </c>
      <c r="J123" s="916">
        <v>0</v>
      </c>
      <c r="K123" s="916">
        <v>0</v>
      </c>
      <c r="L123" s="916">
        <v>0</v>
      </c>
      <c r="M123" s="916">
        <v>0</v>
      </c>
      <c r="N123" s="916">
        <v>0</v>
      </c>
      <c r="O123" s="916">
        <f t="shared" si="19"/>
        <v>0</v>
      </c>
    </row>
    <row r="124" spans="1:15" hidden="1" x14ac:dyDescent="0.2">
      <c r="A124" s="2">
        <v>4600</v>
      </c>
      <c r="B124" t="s">
        <v>169</v>
      </c>
      <c r="C124" s="916">
        <v>0</v>
      </c>
      <c r="D124" s="916">
        <v>0</v>
      </c>
      <c r="E124" s="916">
        <v>0</v>
      </c>
      <c r="F124" s="916">
        <v>0</v>
      </c>
      <c r="G124" s="916">
        <v>0</v>
      </c>
      <c r="H124" s="916">
        <v>0</v>
      </c>
      <c r="I124" s="916">
        <v>0</v>
      </c>
      <c r="J124" s="916">
        <v>0</v>
      </c>
      <c r="K124" s="916">
        <v>0</v>
      </c>
      <c r="L124" s="916">
        <v>0</v>
      </c>
      <c r="M124" s="916">
        <v>0</v>
      </c>
      <c r="N124" s="916">
        <v>0</v>
      </c>
      <c r="O124" s="916">
        <f t="shared" si="19"/>
        <v>0</v>
      </c>
    </row>
    <row r="125" spans="1:15" x14ac:dyDescent="0.2">
      <c r="A125" s="2">
        <v>4700</v>
      </c>
      <c r="B125" t="s">
        <v>170</v>
      </c>
      <c r="C125" s="916">
        <v>0</v>
      </c>
      <c r="D125" s="916">
        <v>0</v>
      </c>
      <c r="E125" s="916">
        <v>0</v>
      </c>
      <c r="F125" s="916">
        <v>0</v>
      </c>
      <c r="G125" s="916">
        <v>0</v>
      </c>
      <c r="H125" s="916">
        <v>0</v>
      </c>
      <c r="I125" s="916">
        <v>0</v>
      </c>
      <c r="J125" s="916">
        <v>0</v>
      </c>
      <c r="K125" s="916">
        <v>0</v>
      </c>
      <c r="L125" s="916">
        <v>387477</v>
      </c>
      <c r="M125" s="916">
        <v>0</v>
      </c>
      <c r="N125" s="916">
        <v>0</v>
      </c>
      <c r="O125" s="916">
        <f t="shared" si="19"/>
        <v>387477</v>
      </c>
    </row>
    <row r="126" spans="1:15" x14ac:dyDescent="0.2">
      <c r="A126" s="2">
        <v>4900</v>
      </c>
      <c r="B126" t="s">
        <v>171</v>
      </c>
      <c r="C126" s="916">
        <v>4511</v>
      </c>
      <c r="D126" s="916">
        <v>0</v>
      </c>
      <c r="E126" s="916">
        <v>0</v>
      </c>
      <c r="F126" s="916">
        <v>0</v>
      </c>
      <c r="G126" s="916">
        <v>0</v>
      </c>
      <c r="H126" s="916">
        <v>0</v>
      </c>
      <c r="I126" s="916">
        <v>0</v>
      </c>
      <c r="J126" s="916">
        <v>0</v>
      </c>
      <c r="K126" s="916">
        <v>0</v>
      </c>
      <c r="L126" s="916">
        <v>0</v>
      </c>
      <c r="M126" s="916">
        <v>0</v>
      </c>
      <c r="N126" s="916">
        <v>0</v>
      </c>
      <c r="O126" s="916">
        <f t="shared" si="19"/>
        <v>4511</v>
      </c>
    </row>
    <row r="127" spans="1:15" x14ac:dyDescent="0.2">
      <c r="A127" s="2">
        <v>5000</v>
      </c>
      <c r="B127" t="s">
        <v>172</v>
      </c>
      <c r="C127" s="916">
        <v>0</v>
      </c>
      <c r="D127" s="916">
        <v>278184</v>
      </c>
      <c r="E127" s="916">
        <v>0</v>
      </c>
      <c r="F127" s="916">
        <v>0</v>
      </c>
      <c r="G127" s="916">
        <v>0</v>
      </c>
      <c r="H127" s="916">
        <v>0</v>
      </c>
      <c r="I127" s="916">
        <v>0</v>
      </c>
      <c r="J127" s="916">
        <v>0</v>
      </c>
      <c r="K127" s="916">
        <v>0</v>
      </c>
      <c r="L127" s="916">
        <v>0</v>
      </c>
      <c r="M127" s="916">
        <v>0</v>
      </c>
      <c r="N127" s="916">
        <v>0</v>
      </c>
      <c r="O127" s="916">
        <f t="shared" si="19"/>
        <v>278184</v>
      </c>
    </row>
    <row r="128" spans="1:15" x14ac:dyDescent="0.2">
      <c r="A128" s="2">
        <v>5000</v>
      </c>
      <c r="B128" t="s">
        <v>173</v>
      </c>
      <c r="C128" s="916">
        <v>0</v>
      </c>
      <c r="D128" s="916">
        <v>881930</v>
      </c>
      <c r="E128" s="916">
        <v>0</v>
      </c>
      <c r="F128" s="916">
        <v>0</v>
      </c>
      <c r="G128" s="916">
        <v>0</v>
      </c>
      <c r="H128" s="916">
        <v>0</v>
      </c>
      <c r="I128" s="916">
        <v>0</v>
      </c>
      <c r="J128" s="916">
        <v>0</v>
      </c>
      <c r="K128" s="916">
        <v>0</v>
      </c>
      <c r="L128" s="916">
        <v>0</v>
      </c>
      <c r="M128" s="916">
        <v>0</v>
      </c>
      <c r="N128" s="916">
        <v>-85020</v>
      </c>
      <c r="O128" s="916">
        <f t="shared" si="19"/>
        <v>796910</v>
      </c>
    </row>
    <row r="129" spans="1:15" hidden="1" x14ac:dyDescent="0.2">
      <c r="A129" s="2">
        <v>6100</v>
      </c>
      <c r="B129" t="s">
        <v>174</v>
      </c>
      <c r="C129" s="916">
        <v>0</v>
      </c>
      <c r="D129" s="916">
        <v>0</v>
      </c>
      <c r="E129" s="916">
        <v>0</v>
      </c>
      <c r="F129" s="916">
        <v>0</v>
      </c>
      <c r="G129" s="916">
        <v>0</v>
      </c>
      <c r="H129" s="916">
        <v>0</v>
      </c>
      <c r="I129" s="916">
        <v>0</v>
      </c>
      <c r="J129" s="916">
        <v>0</v>
      </c>
      <c r="K129" s="916">
        <v>0</v>
      </c>
      <c r="L129" s="916">
        <v>0</v>
      </c>
      <c r="M129" s="916">
        <v>0</v>
      </c>
      <c r="N129" s="916">
        <v>0</v>
      </c>
      <c r="O129" s="916">
        <f t="shared" si="19"/>
        <v>0</v>
      </c>
    </row>
    <row r="130" spans="1:15" x14ac:dyDescent="0.2">
      <c r="A130" s="2">
        <v>6200</v>
      </c>
      <c r="B130" t="s">
        <v>175</v>
      </c>
      <c r="C130" s="916">
        <v>1205350</v>
      </c>
      <c r="D130" s="916">
        <v>0</v>
      </c>
      <c r="E130" s="916">
        <v>0</v>
      </c>
      <c r="F130" s="916">
        <v>0</v>
      </c>
      <c r="G130" s="916">
        <v>0</v>
      </c>
      <c r="H130" s="916">
        <v>0</v>
      </c>
      <c r="I130" s="916">
        <v>0</v>
      </c>
      <c r="J130" s="916">
        <v>0</v>
      </c>
      <c r="K130" s="916">
        <v>0</v>
      </c>
      <c r="L130" s="916">
        <v>49610</v>
      </c>
      <c r="M130" s="916">
        <v>0</v>
      </c>
      <c r="N130" s="916">
        <v>0</v>
      </c>
      <c r="O130" s="916">
        <f t="shared" si="19"/>
        <v>1254960</v>
      </c>
    </row>
    <row r="131" spans="1:15" x14ac:dyDescent="0.2">
      <c r="A131" s="2">
        <v>6300</v>
      </c>
      <c r="B131" t="s">
        <v>176</v>
      </c>
      <c r="C131" s="916">
        <v>0</v>
      </c>
      <c r="D131" s="916">
        <v>0</v>
      </c>
      <c r="E131" s="916">
        <v>0</v>
      </c>
      <c r="F131" s="916">
        <v>0</v>
      </c>
      <c r="G131" s="916">
        <v>0</v>
      </c>
      <c r="H131" s="916">
        <v>0</v>
      </c>
      <c r="I131" s="916">
        <v>2200</v>
      </c>
      <c r="J131" s="916">
        <v>0</v>
      </c>
      <c r="K131" s="916">
        <v>0</v>
      </c>
      <c r="L131" s="916">
        <v>0</v>
      </c>
      <c r="M131" s="916">
        <v>0</v>
      </c>
      <c r="N131" s="916">
        <v>0</v>
      </c>
      <c r="O131" s="916">
        <f t="shared" si="19"/>
        <v>2200</v>
      </c>
    </row>
    <row r="132" spans="1:15" x14ac:dyDescent="0.2">
      <c r="A132" s="2">
        <v>8000</v>
      </c>
      <c r="B132" t="s">
        <v>177</v>
      </c>
      <c r="C132" s="916">
        <v>3238176</v>
      </c>
      <c r="D132" s="916">
        <v>1721654</v>
      </c>
      <c r="E132" s="916">
        <v>0</v>
      </c>
      <c r="F132" s="916">
        <v>0</v>
      </c>
      <c r="G132" s="916">
        <v>0</v>
      </c>
      <c r="H132" s="916">
        <v>0</v>
      </c>
      <c r="I132" s="916">
        <v>0</v>
      </c>
      <c r="J132" s="916">
        <v>0</v>
      </c>
      <c r="K132" s="916">
        <v>0</v>
      </c>
      <c r="L132" s="916">
        <v>0</v>
      </c>
      <c r="M132" s="916">
        <v>0</v>
      </c>
      <c r="N132" s="916">
        <v>0</v>
      </c>
      <c r="O132" s="916">
        <f t="shared" si="19"/>
        <v>4959830</v>
      </c>
    </row>
    <row r="133" spans="1:15" x14ac:dyDescent="0.2">
      <c r="C133" s="916"/>
      <c r="D133" s="916"/>
      <c r="E133" s="916"/>
      <c r="F133" s="916"/>
      <c r="G133" s="916"/>
      <c r="H133" s="916"/>
      <c r="I133" s="916"/>
      <c r="J133" s="916"/>
      <c r="K133" s="916"/>
      <c r="L133" s="916"/>
      <c r="M133" s="916"/>
      <c r="N133" s="916"/>
      <c r="O133" s="916"/>
    </row>
    <row r="134" spans="1:15" s="2" customFormat="1" x14ac:dyDescent="0.2">
      <c r="A134" s="53"/>
      <c r="B134" s="2" t="s">
        <v>308</v>
      </c>
      <c r="C134" s="931"/>
      <c r="D134" s="931"/>
      <c r="E134" s="931"/>
      <c r="F134" s="931"/>
      <c r="G134" s="931"/>
      <c r="H134" s="931"/>
      <c r="I134" s="931"/>
      <c r="J134" s="931"/>
      <c r="K134" s="931"/>
      <c r="L134" s="931"/>
      <c r="M134" s="931"/>
      <c r="N134" s="931"/>
      <c r="O134" s="931"/>
    </row>
    <row r="135" spans="1:15" hidden="1" x14ac:dyDescent="0.2">
      <c r="B135" t="s">
        <v>179</v>
      </c>
      <c r="C135" s="916">
        <v>0</v>
      </c>
      <c r="D135" s="916">
        <v>0</v>
      </c>
      <c r="E135" s="916">
        <v>0</v>
      </c>
      <c r="F135" s="916">
        <v>0</v>
      </c>
      <c r="G135" s="916">
        <v>0</v>
      </c>
      <c r="H135" s="916">
        <v>0</v>
      </c>
      <c r="I135" s="916">
        <v>0</v>
      </c>
      <c r="J135" s="916">
        <v>0</v>
      </c>
      <c r="K135" s="916">
        <v>0</v>
      </c>
      <c r="L135" s="916">
        <v>0</v>
      </c>
      <c r="M135" s="916">
        <v>0</v>
      </c>
      <c r="N135" s="916">
        <v>0</v>
      </c>
      <c r="O135" s="916">
        <f t="shared" ref="O135:O198" si="20">SUM(C135:N135)</f>
        <v>0</v>
      </c>
    </row>
    <row r="136" spans="1:15" hidden="1" x14ac:dyDescent="0.2">
      <c r="B136" t="s">
        <v>145</v>
      </c>
      <c r="C136" s="916">
        <v>0</v>
      </c>
      <c r="D136" s="916">
        <v>0</v>
      </c>
      <c r="E136" s="916">
        <v>0</v>
      </c>
      <c r="F136" s="916">
        <v>0</v>
      </c>
      <c r="G136" s="916">
        <v>0</v>
      </c>
      <c r="H136" s="916">
        <v>0</v>
      </c>
      <c r="I136" s="916">
        <v>0</v>
      </c>
      <c r="J136" s="916">
        <v>0</v>
      </c>
      <c r="K136" s="916">
        <v>0</v>
      </c>
      <c r="L136" s="916">
        <v>0</v>
      </c>
      <c r="M136" s="916">
        <v>0</v>
      </c>
      <c r="N136" s="916">
        <v>0</v>
      </c>
      <c r="O136" s="916">
        <f t="shared" si="20"/>
        <v>0</v>
      </c>
    </row>
    <row r="137" spans="1:15" hidden="1" x14ac:dyDescent="0.2">
      <c r="B137" t="s">
        <v>180</v>
      </c>
      <c r="C137" s="916">
        <v>0</v>
      </c>
      <c r="D137" s="916">
        <v>0</v>
      </c>
      <c r="E137" s="916">
        <v>0</v>
      </c>
      <c r="F137" s="916">
        <v>0</v>
      </c>
      <c r="G137" s="916">
        <v>0</v>
      </c>
      <c r="H137" s="916">
        <v>0</v>
      </c>
      <c r="I137" s="916">
        <v>0</v>
      </c>
      <c r="J137" s="916">
        <v>0</v>
      </c>
      <c r="K137" s="916">
        <v>0</v>
      </c>
      <c r="L137" s="916">
        <v>0</v>
      </c>
      <c r="M137" s="916">
        <v>0</v>
      </c>
      <c r="N137" s="916">
        <v>0</v>
      </c>
      <c r="O137" s="916">
        <f t="shared" si="20"/>
        <v>0</v>
      </c>
    </row>
    <row r="138" spans="1:15" hidden="1" x14ac:dyDescent="0.2">
      <c r="B138" t="s">
        <v>181</v>
      </c>
      <c r="C138" s="916">
        <v>0</v>
      </c>
      <c r="D138" s="916">
        <v>0</v>
      </c>
      <c r="E138" s="916">
        <v>0</v>
      </c>
      <c r="F138" s="916">
        <v>0</v>
      </c>
      <c r="G138" s="916">
        <v>0</v>
      </c>
      <c r="H138" s="916">
        <v>0</v>
      </c>
      <c r="I138" s="916">
        <v>0</v>
      </c>
      <c r="J138" s="916">
        <v>0</v>
      </c>
      <c r="K138" s="916">
        <v>0</v>
      </c>
      <c r="L138" s="916">
        <v>0</v>
      </c>
      <c r="M138" s="916">
        <v>0</v>
      </c>
      <c r="N138" s="916">
        <v>0</v>
      </c>
      <c r="O138" s="916">
        <f t="shared" si="20"/>
        <v>0</v>
      </c>
    </row>
    <row r="139" spans="1:15" hidden="1" x14ac:dyDescent="0.2">
      <c r="B139" t="s">
        <v>182</v>
      </c>
      <c r="C139" s="916">
        <v>0</v>
      </c>
      <c r="D139" s="916">
        <v>0</v>
      </c>
      <c r="E139" s="916">
        <v>0</v>
      </c>
      <c r="F139" s="916">
        <v>0</v>
      </c>
      <c r="G139" s="916">
        <v>0</v>
      </c>
      <c r="H139" s="916">
        <v>0</v>
      </c>
      <c r="I139" s="916">
        <v>0</v>
      </c>
      <c r="J139" s="916">
        <v>0</v>
      </c>
      <c r="K139" s="916">
        <v>0</v>
      </c>
      <c r="L139" s="916">
        <v>0</v>
      </c>
      <c r="M139" s="916">
        <v>0</v>
      </c>
      <c r="N139" s="916">
        <v>0</v>
      </c>
      <c r="O139" s="916">
        <f t="shared" si="20"/>
        <v>0</v>
      </c>
    </row>
    <row r="140" spans="1:15" hidden="1" x14ac:dyDescent="0.2">
      <c r="B140" t="s">
        <v>183</v>
      </c>
      <c r="C140" s="916">
        <v>0</v>
      </c>
      <c r="D140" s="916">
        <v>0</v>
      </c>
      <c r="E140" s="916">
        <v>0</v>
      </c>
      <c r="F140" s="916">
        <v>0</v>
      </c>
      <c r="G140" s="916">
        <v>0</v>
      </c>
      <c r="H140" s="916">
        <v>0</v>
      </c>
      <c r="I140" s="916">
        <v>0</v>
      </c>
      <c r="J140" s="916">
        <v>0</v>
      </c>
      <c r="K140" s="916">
        <v>0</v>
      </c>
      <c r="L140" s="916">
        <v>0</v>
      </c>
      <c r="M140" s="916">
        <v>0</v>
      </c>
      <c r="N140" s="916">
        <v>0</v>
      </c>
      <c r="O140" s="916">
        <f t="shared" si="20"/>
        <v>0</v>
      </c>
    </row>
    <row r="141" spans="1:15" hidden="1" x14ac:dyDescent="0.2">
      <c r="B141" t="s">
        <v>184</v>
      </c>
      <c r="C141" s="916">
        <v>0</v>
      </c>
      <c r="D141" s="916">
        <v>0</v>
      </c>
      <c r="E141" s="916">
        <v>0</v>
      </c>
      <c r="F141" s="916">
        <v>0</v>
      </c>
      <c r="G141" s="916">
        <v>0</v>
      </c>
      <c r="H141" s="916">
        <v>0</v>
      </c>
      <c r="I141" s="916">
        <v>0</v>
      </c>
      <c r="J141" s="916">
        <v>0</v>
      </c>
      <c r="K141" s="916">
        <v>0</v>
      </c>
      <c r="L141" s="916">
        <v>0</v>
      </c>
      <c r="M141" s="916">
        <v>0</v>
      </c>
      <c r="N141" s="916">
        <v>0</v>
      </c>
      <c r="O141" s="916">
        <f t="shared" si="20"/>
        <v>0</v>
      </c>
    </row>
    <row r="142" spans="1:15" hidden="1" x14ac:dyDescent="0.2">
      <c r="B142" t="s">
        <v>185</v>
      </c>
      <c r="C142" s="916">
        <v>0</v>
      </c>
      <c r="D142" s="916">
        <v>0</v>
      </c>
      <c r="E142" s="916">
        <v>0</v>
      </c>
      <c r="F142" s="916">
        <v>0</v>
      </c>
      <c r="G142" s="916">
        <v>0</v>
      </c>
      <c r="H142" s="916">
        <v>0</v>
      </c>
      <c r="I142" s="916">
        <v>0</v>
      </c>
      <c r="J142" s="916">
        <v>0</v>
      </c>
      <c r="K142" s="916">
        <v>0</v>
      </c>
      <c r="L142" s="916">
        <v>0</v>
      </c>
      <c r="M142" s="916">
        <v>0</v>
      </c>
      <c r="N142" s="916">
        <v>0</v>
      </c>
      <c r="O142" s="916">
        <f t="shared" si="20"/>
        <v>0</v>
      </c>
    </row>
    <row r="143" spans="1:15" hidden="1" x14ac:dyDescent="0.2">
      <c r="B143" t="s">
        <v>186</v>
      </c>
      <c r="C143" s="916">
        <v>0</v>
      </c>
      <c r="D143" s="916">
        <v>0</v>
      </c>
      <c r="E143" s="916">
        <v>0</v>
      </c>
      <c r="F143" s="916">
        <v>0</v>
      </c>
      <c r="G143" s="916">
        <v>0</v>
      </c>
      <c r="H143" s="916">
        <v>0</v>
      </c>
      <c r="I143" s="916">
        <v>0</v>
      </c>
      <c r="J143" s="916">
        <v>0</v>
      </c>
      <c r="K143" s="916">
        <v>0</v>
      </c>
      <c r="L143" s="916">
        <v>0</v>
      </c>
      <c r="M143" s="916">
        <v>0</v>
      </c>
      <c r="N143" s="916">
        <v>0</v>
      </c>
      <c r="O143" s="916">
        <f t="shared" si="20"/>
        <v>0</v>
      </c>
    </row>
    <row r="144" spans="1:15" x14ac:dyDescent="0.2">
      <c r="B144" t="s">
        <v>187</v>
      </c>
      <c r="C144" s="916">
        <v>0</v>
      </c>
      <c r="D144" s="916">
        <v>0</v>
      </c>
      <c r="E144" s="916">
        <v>0</v>
      </c>
      <c r="F144" s="916">
        <v>0</v>
      </c>
      <c r="G144" s="916">
        <v>0</v>
      </c>
      <c r="H144" s="916">
        <v>0</v>
      </c>
      <c r="I144" s="916">
        <v>0</v>
      </c>
      <c r="J144" s="916">
        <v>0</v>
      </c>
      <c r="K144" s="916">
        <v>0</v>
      </c>
      <c r="L144" s="916">
        <v>0</v>
      </c>
      <c r="M144" s="916">
        <v>0</v>
      </c>
      <c r="N144" s="916">
        <v>-300000</v>
      </c>
      <c r="O144" s="916">
        <f t="shared" si="20"/>
        <v>-300000</v>
      </c>
    </row>
    <row r="145" spans="2:15" hidden="1" x14ac:dyDescent="0.2">
      <c r="B145" t="s">
        <v>188</v>
      </c>
      <c r="C145" s="916">
        <v>0</v>
      </c>
      <c r="D145" s="916">
        <v>0</v>
      </c>
      <c r="E145" s="916">
        <v>0</v>
      </c>
      <c r="F145" s="916">
        <v>0</v>
      </c>
      <c r="G145" s="916">
        <v>0</v>
      </c>
      <c r="H145" s="916">
        <v>0</v>
      </c>
      <c r="I145" s="916">
        <v>0</v>
      </c>
      <c r="J145" s="916">
        <v>0</v>
      </c>
      <c r="K145" s="916">
        <v>0</v>
      </c>
      <c r="L145" s="916">
        <v>0</v>
      </c>
      <c r="M145" s="916">
        <v>0</v>
      </c>
      <c r="N145" s="916">
        <v>0</v>
      </c>
      <c r="O145" s="916">
        <f t="shared" si="20"/>
        <v>0</v>
      </c>
    </row>
    <row r="146" spans="2:15" hidden="1" x14ac:dyDescent="0.2">
      <c r="B146" t="s">
        <v>189</v>
      </c>
      <c r="C146" s="916">
        <v>0</v>
      </c>
      <c r="D146" s="916">
        <v>0</v>
      </c>
      <c r="E146" s="916">
        <v>0</v>
      </c>
      <c r="F146" s="916">
        <v>0</v>
      </c>
      <c r="G146" s="916">
        <v>0</v>
      </c>
      <c r="H146" s="916">
        <v>0</v>
      </c>
      <c r="I146" s="916">
        <v>0</v>
      </c>
      <c r="J146" s="916">
        <v>0</v>
      </c>
      <c r="K146" s="916">
        <v>0</v>
      </c>
      <c r="L146" s="916">
        <v>0</v>
      </c>
      <c r="M146" s="916">
        <v>0</v>
      </c>
      <c r="N146" s="916">
        <v>0</v>
      </c>
      <c r="O146" s="916">
        <f t="shared" si="20"/>
        <v>0</v>
      </c>
    </row>
    <row r="147" spans="2:15" x14ac:dyDescent="0.2">
      <c r="B147" t="s">
        <v>190</v>
      </c>
      <c r="C147" s="916">
        <v>0</v>
      </c>
      <c r="D147" s="916">
        <v>0</v>
      </c>
      <c r="E147" s="916">
        <v>0</v>
      </c>
      <c r="F147" s="916">
        <v>0</v>
      </c>
      <c r="G147" s="916">
        <v>0</v>
      </c>
      <c r="H147" s="916">
        <v>0</v>
      </c>
      <c r="I147" s="916">
        <v>0</v>
      </c>
      <c r="J147" s="916">
        <v>0</v>
      </c>
      <c r="K147" s="916">
        <v>0</v>
      </c>
      <c r="L147" s="916">
        <v>0</v>
      </c>
      <c r="M147" s="916">
        <v>0</v>
      </c>
      <c r="N147" s="916">
        <v>-49610</v>
      </c>
      <c r="O147" s="916">
        <f t="shared" si="20"/>
        <v>-49610</v>
      </c>
    </row>
    <row r="148" spans="2:15" hidden="1" x14ac:dyDescent="0.2">
      <c r="B148" t="s">
        <v>191</v>
      </c>
      <c r="C148" s="916">
        <v>0</v>
      </c>
      <c r="D148" s="916">
        <v>0</v>
      </c>
      <c r="E148" s="916">
        <v>0</v>
      </c>
      <c r="F148" s="916">
        <v>0</v>
      </c>
      <c r="G148" s="916">
        <v>0</v>
      </c>
      <c r="H148" s="916">
        <v>0</v>
      </c>
      <c r="I148" s="916">
        <v>0</v>
      </c>
      <c r="J148" s="916">
        <v>0</v>
      </c>
      <c r="K148" s="916">
        <v>0</v>
      </c>
      <c r="L148" s="916">
        <v>0</v>
      </c>
      <c r="M148" s="916">
        <v>0</v>
      </c>
      <c r="N148" s="916">
        <v>0</v>
      </c>
      <c r="O148" s="916">
        <f t="shared" si="20"/>
        <v>0</v>
      </c>
    </row>
    <row r="149" spans="2:15" hidden="1" x14ac:dyDescent="0.2">
      <c r="B149" t="s">
        <v>192</v>
      </c>
      <c r="C149" s="916">
        <v>0</v>
      </c>
      <c r="D149" s="916">
        <v>0</v>
      </c>
      <c r="E149" s="916">
        <v>0</v>
      </c>
      <c r="F149" s="916">
        <v>0</v>
      </c>
      <c r="G149" s="916">
        <v>0</v>
      </c>
      <c r="H149" s="916">
        <v>0</v>
      </c>
      <c r="I149" s="916">
        <v>0</v>
      </c>
      <c r="J149" s="916">
        <v>0</v>
      </c>
      <c r="K149" s="916">
        <v>0</v>
      </c>
      <c r="L149" s="916">
        <v>0</v>
      </c>
      <c r="M149" s="916">
        <v>0</v>
      </c>
      <c r="N149" s="916">
        <v>0</v>
      </c>
      <c r="O149" s="916">
        <f t="shared" si="20"/>
        <v>0</v>
      </c>
    </row>
    <row r="150" spans="2:15" hidden="1" x14ac:dyDescent="0.2">
      <c r="B150" t="s">
        <v>193</v>
      </c>
      <c r="C150" s="916">
        <v>0</v>
      </c>
      <c r="D150" s="916">
        <v>0</v>
      </c>
      <c r="E150" s="916">
        <v>0</v>
      </c>
      <c r="F150" s="916">
        <v>0</v>
      </c>
      <c r="G150" s="916">
        <v>0</v>
      </c>
      <c r="H150" s="916">
        <v>0</v>
      </c>
      <c r="I150" s="916">
        <v>0</v>
      </c>
      <c r="J150" s="916">
        <v>0</v>
      </c>
      <c r="K150" s="916">
        <v>0</v>
      </c>
      <c r="L150" s="916">
        <v>0</v>
      </c>
      <c r="M150" s="916">
        <v>0</v>
      </c>
      <c r="N150" s="916">
        <v>0</v>
      </c>
      <c r="O150" s="916">
        <f t="shared" si="20"/>
        <v>0</v>
      </c>
    </row>
    <row r="151" spans="2:15" hidden="1" x14ac:dyDescent="0.2">
      <c r="B151" t="s">
        <v>194</v>
      </c>
      <c r="C151" s="916">
        <v>0</v>
      </c>
      <c r="D151" s="916">
        <v>0</v>
      </c>
      <c r="E151" s="916">
        <v>0</v>
      </c>
      <c r="F151" s="916">
        <v>0</v>
      </c>
      <c r="G151" s="916">
        <v>0</v>
      </c>
      <c r="H151" s="916">
        <v>0</v>
      </c>
      <c r="I151" s="916">
        <v>0</v>
      </c>
      <c r="J151" s="916">
        <v>0</v>
      </c>
      <c r="K151" s="916">
        <v>0</v>
      </c>
      <c r="L151" s="916">
        <v>0</v>
      </c>
      <c r="M151" s="916">
        <v>0</v>
      </c>
      <c r="N151" s="916">
        <v>0</v>
      </c>
      <c r="O151" s="916">
        <f t="shared" si="20"/>
        <v>0</v>
      </c>
    </row>
    <row r="152" spans="2:15" hidden="1" x14ac:dyDescent="0.2">
      <c r="B152" t="s">
        <v>195</v>
      </c>
      <c r="C152" s="916">
        <v>0</v>
      </c>
      <c r="D152" s="916">
        <v>0</v>
      </c>
      <c r="E152" s="916">
        <v>0</v>
      </c>
      <c r="F152" s="916">
        <v>0</v>
      </c>
      <c r="G152" s="916">
        <v>0</v>
      </c>
      <c r="H152" s="916">
        <v>0</v>
      </c>
      <c r="I152" s="916">
        <v>0</v>
      </c>
      <c r="J152" s="916">
        <v>0</v>
      </c>
      <c r="K152" s="916">
        <v>0</v>
      </c>
      <c r="L152" s="916">
        <v>0</v>
      </c>
      <c r="M152" s="916">
        <v>0</v>
      </c>
      <c r="N152" s="916">
        <v>0</v>
      </c>
      <c r="O152" s="916">
        <f t="shared" si="20"/>
        <v>0</v>
      </c>
    </row>
    <row r="153" spans="2:15" hidden="1" x14ac:dyDescent="0.2">
      <c r="B153" t="s">
        <v>196</v>
      </c>
      <c r="C153" s="916">
        <v>0</v>
      </c>
      <c r="D153" s="916">
        <v>0</v>
      </c>
      <c r="E153" s="916">
        <v>0</v>
      </c>
      <c r="F153" s="916">
        <v>0</v>
      </c>
      <c r="G153" s="916">
        <v>0</v>
      </c>
      <c r="H153" s="916">
        <v>0</v>
      </c>
      <c r="I153" s="916">
        <v>0</v>
      </c>
      <c r="J153" s="916">
        <v>0</v>
      </c>
      <c r="K153" s="916">
        <v>0</v>
      </c>
      <c r="L153" s="916">
        <v>0</v>
      </c>
      <c r="M153" s="916">
        <v>0</v>
      </c>
      <c r="N153" s="916">
        <v>0</v>
      </c>
      <c r="O153" s="916">
        <f t="shared" si="20"/>
        <v>0</v>
      </c>
    </row>
    <row r="154" spans="2:15" hidden="1" x14ac:dyDescent="0.2">
      <c r="B154" t="s">
        <v>197</v>
      </c>
      <c r="C154" s="916">
        <v>0</v>
      </c>
      <c r="D154" s="916">
        <v>0</v>
      </c>
      <c r="E154" s="916">
        <v>0</v>
      </c>
      <c r="F154" s="916">
        <v>0</v>
      </c>
      <c r="G154" s="916">
        <v>0</v>
      </c>
      <c r="H154" s="916">
        <v>0</v>
      </c>
      <c r="I154" s="916">
        <v>0</v>
      </c>
      <c r="J154" s="916">
        <v>0</v>
      </c>
      <c r="K154" s="916">
        <v>0</v>
      </c>
      <c r="L154" s="916">
        <v>0</v>
      </c>
      <c r="M154" s="916">
        <v>0</v>
      </c>
      <c r="N154" s="916">
        <v>0</v>
      </c>
      <c r="O154" s="916">
        <f t="shared" si="20"/>
        <v>0</v>
      </c>
    </row>
    <row r="155" spans="2:15" hidden="1" x14ac:dyDescent="0.2">
      <c r="B155" t="s">
        <v>198</v>
      </c>
      <c r="C155" s="916">
        <v>0</v>
      </c>
      <c r="D155" s="916">
        <v>0</v>
      </c>
      <c r="E155" s="916">
        <v>0</v>
      </c>
      <c r="F155" s="916">
        <v>0</v>
      </c>
      <c r="G155" s="916">
        <v>0</v>
      </c>
      <c r="H155" s="916">
        <v>0</v>
      </c>
      <c r="I155" s="916">
        <v>0</v>
      </c>
      <c r="J155" s="916">
        <v>0</v>
      </c>
      <c r="K155" s="916">
        <v>0</v>
      </c>
      <c r="L155" s="916">
        <v>0</v>
      </c>
      <c r="M155" s="916">
        <v>0</v>
      </c>
      <c r="N155" s="916">
        <v>0</v>
      </c>
      <c r="O155" s="916">
        <f t="shared" si="20"/>
        <v>0</v>
      </c>
    </row>
    <row r="156" spans="2:15" hidden="1" x14ac:dyDescent="0.2">
      <c r="B156" t="s">
        <v>199</v>
      </c>
      <c r="C156" s="916">
        <v>0</v>
      </c>
      <c r="D156" s="916">
        <v>0</v>
      </c>
      <c r="E156" s="916">
        <v>0</v>
      </c>
      <c r="F156" s="916">
        <v>0</v>
      </c>
      <c r="G156" s="916">
        <v>0</v>
      </c>
      <c r="H156" s="916">
        <v>0</v>
      </c>
      <c r="I156" s="916">
        <v>0</v>
      </c>
      <c r="J156" s="916">
        <v>0</v>
      </c>
      <c r="K156" s="916">
        <v>0</v>
      </c>
      <c r="L156" s="916">
        <v>0</v>
      </c>
      <c r="M156" s="916">
        <v>0</v>
      </c>
      <c r="N156" s="916">
        <v>0</v>
      </c>
      <c r="O156" s="916">
        <f t="shared" si="20"/>
        <v>0</v>
      </c>
    </row>
    <row r="157" spans="2:15" hidden="1" x14ac:dyDescent="0.2">
      <c r="B157" t="s">
        <v>200</v>
      </c>
      <c r="C157" s="916">
        <v>0</v>
      </c>
      <c r="D157" s="916">
        <v>0</v>
      </c>
      <c r="E157" s="916">
        <v>0</v>
      </c>
      <c r="F157" s="916">
        <v>0</v>
      </c>
      <c r="G157" s="916">
        <v>0</v>
      </c>
      <c r="H157" s="916">
        <v>0</v>
      </c>
      <c r="I157" s="916">
        <v>0</v>
      </c>
      <c r="J157" s="916">
        <v>0</v>
      </c>
      <c r="K157" s="916">
        <v>0</v>
      </c>
      <c r="L157" s="916">
        <v>0</v>
      </c>
      <c r="M157" s="916">
        <v>0</v>
      </c>
      <c r="N157" s="916">
        <v>0</v>
      </c>
      <c r="O157" s="916">
        <f t="shared" si="20"/>
        <v>0</v>
      </c>
    </row>
    <row r="158" spans="2:15" hidden="1" x14ac:dyDescent="0.2">
      <c r="B158" t="s">
        <v>201</v>
      </c>
      <c r="C158" s="916">
        <v>0</v>
      </c>
      <c r="D158" s="916">
        <v>0</v>
      </c>
      <c r="E158" s="916">
        <v>0</v>
      </c>
      <c r="F158" s="916">
        <v>0</v>
      </c>
      <c r="G158" s="916">
        <v>0</v>
      </c>
      <c r="H158" s="916">
        <v>0</v>
      </c>
      <c r="I158" s="916">
        <v>0</v>
      </c>
      <c r="J158" s="916">
        <v>0</v>
      </c>
      <c r="K158" s="916">
        <v>0</v>
      </c>
      <c r="L158" s="916">
        <v>0</v>
      </c>
      <c r="M158" s="916">
        <v>0</v>
      </c>
      <c r="N158" s="916">
        <v>0</v>
      </c>
      <c r="O158" s="916">
        <f t="shared" si="20"/>
        <v>0</v>
      </c>
    </row>
    <row r="159" spans="2:15" hidden="1" x14ac:dyDescent="0.2">
      <c r="B159" t="s">
        <v>202</v>
      </c>
      <c r="C159" s="916">
        <v>0</v>
      </c>
      <c r="D159" s="916">
        <v>0</v>
      </c>
      <c r="E159" s="916">
        <v>0</v>
      </c>
      <c r="F159" s="916">
        <v>0</v>
      </c>
      <c r="G159" s="916">
        <v>0</v>
      </c>
      <c r="H159" s="916">
        <v>0</v>
      </c>
      <c r="I159" s="916">
        <v>0</v>
      </c>
      <c r="J159" s="916">
        <v>0</v>
      </c>
      <c r="K159" s="916">
        <v>0</v>
      </c>
      <c r="L159" s="916">
        <v>0</v>
      </c>
      <c r="M159" s="916">
        <v>0</v>
      </c>
      <c r="N159" s="916">
        <v>0</v>
      </c>
      <c r="O159" s="916">
        <f t="shared" si="20"/>
        <v>0</v>
      </c>
    </row>
    <row r="160" spans="2:15" hidden="1" x14ac:dyDescent="0.2">
      <c r="B160" t="s">
        <v>203</v>
      </c>
      <c r="C160" s="916">
        <v>0</v>
      </c>
      <c r="D160" s="916">
        <v>0</v>
      </c>
      <c r="E160" s="916">
        <v>0</v>
      </c>
      <c r="F160" s="916">
        <v>0</v>
      </c>
      <c r="G160" s="916">
        <v>0</v>
      </c>
      <c r="H160" s="916">
        <v>0</v>
      </c>
      <c r="I160" s="916">
        <v>0</v>
      </c>
      <c r="J160" s="916">
        <v>0</v>
      </c>
      <c r="K160" s="916">
        <v>0</v>
      </c>
      <c r="L160" s="916">
        <v>0</v>
      </c>
      <c r="M160" s="916">
        <v>0</v>
      </c>
      <c r="N160" s="916">
        <v>0</v>
      </c>
      <c r="O160" s="916">
        <f t="shared" si="20"/>
        <v>0</v>
      </c>
    </row>
    <row r="161" spans="2:15" hidden="1" x14ac:dyDescent="0.2">
      <c r="B161" t="s">
        <v>204</v>
      </c>
      <c r="C161" s="916">
        <v>0</v>
      </c>
      <c r="D161" s="916">
        <v>0</v>
      </c>
      <c r="E161" s="916">
        <v>0</v>
      </c>
      <c r="F161" s="916">
        <v>0</v>
      </c>
      <c r="G161" s="916">
        <v>0</v>
      </c>
      <c r="H161" s="916">
        <v>0</v>
      </c>
      <c r="I161" s="916">
        <v>0</v>
      </c>
      <c r="J161" s="916">
        <v>0</v>
      </c>
      <c r="K161" s="916">
        <v>0</v>
      </c>
      <c r="L161" s="916">
        <v>0</v>
      </c>
      <c r="M161" s="916">
        <v>0</v>
      </c>
      <c r="N161" s="916">
        <v>0</v>
      </c>
      <c r="O161" s="916">
        <f t="shared" si="20"/>
        <v>0</v>
      </c>
    </row>
    <row r="162" spans="2:15" hidden="1" x14ac:dyDescent="0.2">
      <c r="B162" t="s">
        <v>205</v>
      </c>
      <c r="C162" s="916">
        <v>0</v>
      </c>
      <c r="D162" s="916">
        <v>0</v>
      </c>
      <c r="E162" s="916">
        <v>0</v>
      </c>
      <c r="F162" s="916">
        <v>0</v>
      </c>
      <c r="G162" s="916">
        <v>0</v>
      </c>
      <c r="H162" s="916">
        <v>0</v>
      </c>
      <c r="I162" s="916">
        <v>0</v>
      </c>
      <c r="J162" s="916">
        <v>0</v>
      </c>
      <c r="K162" s="916">
        <v>0</v>
      </c>
      <c r="L162" s="916">
        <v>0</v>
      </c>
      <c r="M162" s="916">
        <v>0</v>
      </c>
      <c r="N162" s="916">
        <v>0</v>
      </c>
      <c r="O162" s="916">
        <f t="shared" si="20"/>
        <v>0</v>
      </c>
    </row>
    <row r="163" spans="2:15" hidden="1" x14ac:dyDescent="0.2">
      <c r="B163" t="s">
        <v>206</v>
      </c>
      <c r="C163" s="916">
        <v>0</v>
      </c>
      <c r="D163" s="916">
        <v>0</v>
      </c>
      <c r="E163" s="916">
        <v>0</v>
      </c>
      <c r="F163" s="916">
        <v>0</v>
      </c>
      <c r="G163" s="916">
        <v>0</v>
      </c>
      <c r="H163" s="916">
        <v>0</v>
      </c>
      <c r="I163" s="916">
        <v>0</v>
      </c>
      <c r="J163" s="916">
        <v>0</v>
      </c>
      <c r="K163" s="916">
        <v>0</v>
      </c>
      <c r="L163" s="916">
        <v>0</v>
      </c>
      <c r="M163" s="916">
        <v>0</v>
      </c>
      <c r="N163" s="916">
        <v>0</v>
      </c>
      <c r="O163" s="916">
        <f t="shared" si="20"/>
        <v>0</v>
      </c>
    </row>
    <row r="164" spans="2:15" hidden="1" x14ac:dyDescent="0.2">
      <c r="B164" t="s">
        <v>207</v>
      </c>
      <c r="C164" s="916">
        <v>0</v>
      </c>
      <c r="D164" s="916">
        <v>0</v>
      </c>
      <c r="E164" s="916">
        <v>0</v>
      </c>
      <c r="F164" s="916">
        <v>0</v>
      </c>
      <c r="G164" s="916">
        <v>0</v>
      </c>
      <c r="H164" s="916">
        <v>0</v>
      </c>
      <c r="I164" s="916">
        <v>0</v>
      </c>
      <c r="J164" s="916">
        <v>0</v>
      </c>
      <c r="K164" s="916">
        <v>0</v>
      </c>
      <c r="L164" s="916">
        <v>0</v>
      </c>
      <c r="M164" s="916">
        <v>0</v>
      </c>
      <c r="N164" s="916">
        <v>0</v>
      </c>
      <c r="O164" s="916">
        <f t="shared" si="20"/>
        <v>0</v>
      </c>
    </row>
    <row r="165" spans="2:15" hidden="1" x14ac:dyDescent="0.2">
      <c r="B165" t="s">
        <v>208</v>
      </c>
      <c r="C165" s="916">
        <v>0</v>
      </c>
      <c r="D165" s="916">
        <v>0</v>
      </c>
      <c r="E165" s="916">
        <v>0</v>
      </c>
      <c r="F165" s="916">
        <v>0</v>
      </c>
      <c r="G165" s="916">
        <v>0</v>
      </c>
      <c r="H165" s="916">
        <v>0</v>
      </c>
      <c r="I165" s="916">
        <v>0</v>
      </c>
      <c r="J165" s="916">
        <v>0</v>
      </c>
      <c r="K165" s="916">
        <v>0</v>
      </c>
      <c r="L165" s="916">
        <v>0</v>
      </c>
      <c r="M165" s="916">
        <v>0</v>
      </c>
      <c r="N165" s="916">
        <v>0</v>
      </c>
      <c r="O165" s="916">
        <f t="shared" si="20"/>
        <v>0</v>
      </c>
    </row>
    <row r="166" spans="2:15" hidden="1" x14ac:dyDescent="0.2">
      <c r="B166" t="s">
        <v>209</v>
      </c>
      <c r="C166" s="916">
        <v>0</v>
      </c>
      <c r="D166" s="916">
        <v>0</v>
      </c>
      <c r="E166" s="916">
        <v>0</v>
      </c>
      <c r="F166" s="916">
        <v>0</v>
      </c>
      <c r="G166" s="916">
        <v>0</v>
      </c>
      <c r="H166" s="916">
        <v>0</v>
      </c>
      <c r="I166" s="916">
        <v>0</v>
      </c>
      <c r="J166" s="916">
        <v>0</v>
      </c>
      <c r="K166" s="916">
        <v>0</v>
      </c>
      <c r="L166" s="916">
        <v>0</v>
      </c>
      <c r="M166" s="916">
        <v>0</v>
      </c>
      <c r="N166" s="916">
        <v>0</v>
      </c>
      <c r="O166" s="916">
        <f t="shared" si="20"/>
        <v>0</v>
      </c>
    </row>
    <row r="167" spans="2:15" hidden="1" x14ac:dyDescent="0.2">
      <c r="B167" t="s">
        <v>210</v>
      </c>
      <c r="C167" s="916">
        <v>0</v>
      </c>
      <c r="D167" s="916">
        <v>0</v>
      </c>
      <c r="E167" s="916">
        <v>0</v>
      </c>
      <c r="F167" s="916">
        <v>0</v>
      </c>
      <c r="G167" s="916">
        <v>0</v>
      </c>
      <c r="H167" s="916">
        <v>0</v>
      </c>
      <c r="I167" s="916">
        <v>0</v>
      </c>
      <c r="J167" s="916">
        <v>0</v>
      </c>
      <c r="K167" s="916">
        <v>0</v>
      </c>
      <c r="L167" s="916">
        <v>0</v>
      </c>
      <c r="M167" s="916">
        <v>0</v>
      </c>
      <c r="N167" s="916">
        <v>0</v>
      </c>
      <c r="O167" s="916">
        <f t="shared" si="20"/>
        <v>0</v>
      </c>
    </row>
    <row r="168" spans="2:15" hidden="1" x14ac:dyDescent="0.2">
      <c r="B168" t="s">
        <v>211</v>
      </c>
      <c r="C168" s="916">
        <v>0</v>
      </c>
      <c r="D168" s="916">
        <v>0</v>
      </c>
      <c r="E168" s="916">
        <v>0</v>
      </c>
      <c r="F168" s="916">
        <v>0</v>
      </c>
      <c r="G168" s="916">
        <v>0</v>
      </c>
      <c r="H168" s="916">
        <v>0</v>
      </c>
      <c r="I168" s="916">
        <v>0</v>
      </c>
      <c r="J168" s="916">
        <v>0</v>
      </c>
      <c r="K168" s="916">
        <v>0</v>
      </c>
      <c r="L168" s="916">
        <v>0</v>
      </c>
      <c r="M168" s="916">
        <v>0</v>
      </c>
      <c r="N168" s="916">
        <v>0</v>
      </c>
      <c r="O168" s="916">
        <f t="shared" si="20"/>
        <v>0</v>
      </c>
    </row>
    <row r="169" spans="2:15" hidden="1" x14ac:dyDescent="0.2">
      <c r="B169" t="s">
        <v>212</v>
      </c>
      <c r="C169" s="916">
        <v>0</v>
      </c>
      <c r="D169" s="916">
        <v>0</v>
      </c>
      <c r="E169" s="916">
        <v>0</v>
      </c>
      <c r="F169" s="916">
        <v>0</v>
      </c>
      <c r="G169" s="916">
        <v>0</v>
      </c>
      <c r="H169" s="916">
        <v>0</v>
      </c>
      <c r="I169" s="916">
        <v>0</v>
      </c>
      <c r="J169" s="916">
        <v>0</v>
      </c>
      <c r="K169" s="916">
        <v>0</v>
      </c>
      <c r="L169" s="916">
        <v>0</v>
      </c>
      <c r="M169" s="916">
        <v>0</v>
      </c>
      <c r="N169" s="916">
        <v>0</v>
      </c>
      <c r="O169" s="916">
        <f t="shared" si="20"/>
        <v>0</v>
      </c>
    </row>
    <row r="170" spans="2:15" hidden="1" x14ac:dyDescent="0.2">
      <c r="B170" t="s">
        <v>213</v>
      </c>
      <c r="C170" s="916">
        <v>0</v>
      </c>
      <c r="D170" s="916">
        <v>0</v>
      </c>
      <c r="E170" s="916">
        <v>0</v>
      </c>
      <c r="F170" s="916">
        <v>0</v>
      </c>
      <c r="G170" s="916">
        <v>0</v>
      </c>
      <c r="H170" s="916">
        <v>0</v>
      </c>
      <c r="I170" s="916">
        <v>0</v>
      </c>
      <c r="J170" s="916">
        <v>0</v>
      </c>
      <c r="K170" s="916">
        <v>0</v>
      </c>
      <c r="L170" s="916">
        <v>0</v>
      </c>
      <c r="M170" s="916">
        <v>0</v>
      </c>
      <c r="N170" s="916">
        <v>0</v>
      </c>
      <c r="O170" s="916">
        <f t="shared" si="20"/>
        <v>0</v>
      </c>
    </row>
    <row r="171" spans="2:15" hidden="1" x14ac:dyDescent="0.2">
      <c r="B171" t="s">
        <v>214</v>
      </c>
      <c r="C171" s="916">
        <v>0</v>
      </c>
      <c r="D171" s="916">
        <v>0</v>
      </c>
      <c r="E171" s="916">
        <v>0</v>
      </c>
      <c r="F171" s="916">
        <v>0</v>
      </c>
      <c r="G171" s="916">
        <v>0</v>
      </c>
      <c r="H171" s="916">
        <v>0</v>
      </c>
      <c r="I171" s="916">
        <v>0</v>
      </c>
      <c r="J171" s="916">
        <v>0</v>
      </c>
      <c r="K171" s="916">
        <v>0</v>
      </c>
      <c r="L171" s="916">
        <v>0</v>
      </c>
      <c r="M171" s="916">
        <v>0</v>
      </c>
      <c r="N171" s="916">
        <v>0</v>
      </c>
      <c r="O171" s="916">
        <f t="shared" si="20"/>
        <v>0</v>
      </c>
    </row>
    <row r="172" spans="2:15" hidden="1" x14ac:dyDescent="0.2">
      <c r="B172" t="s">
        <v>215</v>
      </c>
      <c r="C172" s="916">
        <v>0</v>
      </c>
      <c r="D172" s="916">
        <v>0</v>
      </c>
      <c r="E172" s="916">
        <v>0</v>
      </c>
      <c r="F172" s="916">
        <v>0</v>
      </c>
      <c r="G172" s="916">
        <v>0</v>
      </c>
      <c r="H172" s="916">
        <v>0</v>
      </c>
      <c r="I172" s="916">
        <v>0</v>
      </c>
      <c r="J172" s="916">
        <v>0</v>
      </c>
      <c r="K172" s="916">
        <v>0</v>
      </c>
      <c r="L172" s="916">
        <v>0</v>
      </c>
      <c r="M172" s="916">
        <v>0</v>
      </c>
      <c r="N172" s="916">
        <v>0</v>
      </c>
      <c r="O172" s="916">
        <f t="shared" si="20"/>
        <v>0</v>
      </c>
    </row>
    <row r="173" spans="2:15" hidden="1" x14ac:dyDescent="0.2">
      <c r="B173" t="s">
        <v>216</v>
      </c>
      <c r="C173" s="916">
        <v>0</v>
      </c>
      <c r="D173" s="916">
        <v>0</v>
      </c>
      <c r="E173" s="916">
        <v>0</v>
      </c>
      <c r="F173" s="916">
        <v>0</v>
      </c>
      <c r="G173" s="916">
        <v>0</v>
      </c>
      <c r="H173" s="916">
        <v>0</v>
      </c>
      <c r="I173" s="916">
        <v>0</v>
      </c>
      <c r="J173" s="916">
        <v>0</v>
      </c>
      <c r="K173" s="916">
        <v>0</v>
      </c>
      <c r="L173" s="916">
        <v>0</v>
      </c>
      <c r="M173" s="916">
        <v>0</v>
      </c>
      <c r="N173" s="916">
        <v>0</v>
      </c>
      <c r="O173" s="916">
        <f t="shared" si="20"/>
        <v>0</v>
      </c>
    </row>
    <row r="174" spans="2:15" hidden="1" x14ac:dyDescent="0.2">
      <c r="B174" t="s">
        <v>217</v>
      </c>
      <c r="C174" s="916">
        <v>0</v>
      </c>
      <c r="D174" s="916">
        <v>0</v>
      </c>
      <c r="E174" s="916">
        <v>0</v>
      </c>
      <c r="F174" s="916">
        <v>0</v>
      </c>
      <c r="G174" s="916">
        <v>0</v>
      </c>
      <c r="H174" s="916">
        <v>0</v>
      </c>
      <c r="I174" s="916">
        <v>0</v>
      </c>
      <c r="J174" s="916">
        <v>0</v>
      </c>
      <c r="K174" s="916">
        <v>0</v>
      </c>
      <c r="L174" s="916">
        <v>0</v>
      </c>
      <c r="M174" s="916">
        <v>0</v>
      </c>
      <c r="N174" s="916">
        <v>0</v>
      </c>
      <c r="O174" s="916">
        <f t="shared" si="20"/>
        <v>0</v>
      </c>
    </row>
    <row r="175" spans="2:15" x14ac:dyDescent="0.2">
      <c r="B175" t="s">
        <v>218</v>
      </c>
      <c r="C175" s="916">
        <v>0</v>
      </c>
      <c r="D175" s="916">
        <v>0</v>
      </c>
      <c r="E175" s="916">
        <v>0</v>
      </c>
      <c r="F175" s="916">
        <v>0</v>
      </c>
      <c r="G175" s="916">
        <v>0</v>
      </c>
      <c r="H175" s="916">
        <v>0</v>
      </c>
      <c r="I175" s="916">
        <v>0</v>
      </c>
      <c r="J175" s="916">
        <v>0</v>
      </c>
      <c r="K175" s="916">
        <v>0</v>
      </c>
      <c r="L175" s="916">
        <v>0</v>
      </c>
      <c r="M175" s="916">
        <v>0</v>
      </c>
      <c r="N175" s="916">
        <v>-182064</v>
      </c>
      <c r="O175" s="916">
        <f t="shared" si="20"/>
        <v>-182064</v>
      </c>
    </row>
    <row r="176" spans="2:15" hidden="1" x14ac:dyDescent="0.2">
      <c r="B176" t="s">
        <v>219</v>
      </c>
      <c r="C176" s="916">
        <v>0</v>
      </c>
      <c r="D176" s="916">
        <v>0</v>
      </c>
      <c r="E176" s="916">
        <v>0</v>
      </c>
      <c r="F176" s="916">
        <v>0</v>
      </c>
      <c r="G176" s="916">
        <v>0</v>
      </c>
      <c r="H176" s="916">
        <v>0</v>
      </c>
      <c r="I176" s="916">
        <v>0</v>
      </c>
      <c r="J176" s="916">
        <v>0</v>
      </c>
      <c r="K176" s="916">
        <v>0</v>
      </c>
      <c r="L176" s="916">
        <v>0</v>
      </c>
      <c r="M176" s="916">
        <v>0</v>
      </c>
      <c r="N176" s="916">
        <v>0</v>
      </c>
      <c r="O176" s="916">
        <f t="shared" si="20"/>
        <v>0</v>
      </c>
    </row>
    <row r="177" spans="1:15" hidden="1" x14ac:dyDescent="0.2">
      <c r="B177" t="s">
        <v>220</v>
      </c>
      <c r="C177" s="916">
        <v>0</v>
      </c>
      <c r="D177" s="916">
        <v>0</v>
      </c>
      <c r="E177" s="916">
        <v>0</v>
      </c>
      <c r="F177" s="916">
        <v>0</v>
      </c>
      <c r="G177" s="916">
        <v>0</v>
      </c>
      <c r="H177" s="916">
        <v>0</v>
      </c>
      <c r="I177" s="916">
        <v>0</v>
      </c>
      <c r="J177" s="916">
        <v>0</v>
      </c>
      <c r="K177" s="916">
        <v>0</v>
      </c>
      <c r="L177" s="916">
        <v>0</v>
      </c>
      <c r="M177" s="916">
        <v>0</v>
      </c>
      <c r="N177" s="916">
        <v>0</v>
      </c>
      <c r="O177" s="916">
        <f t="shared" si="20"/>
        <v>0</v>
      </c>
    </row>
    <row r="178" spans="1:15" hidden="1" x14ac:dyDescent="0.2">
      <c r="B178" t="s">
        <v>221</v>
      </c>
      <c r="C178" s="916">
        <v>0</v>
      </c>
      <c r="D178" s="916">
        <v>0</v>
      </c>
      <c r="E178" s="916">
        <v>0</v>
      </c>
      <c r="F178" s="916">
        <v>0</v>
      </c>
      <c r="G178" s="916">
        <v>0</v>
      </c>
      <c r="H178" s="916">
        <v>0</v>
      </c>
      <c r="I178" s="916">
        <v>0</v>
      </c>
      <c r="J178" s="916">
        <v>0</v>
      </c>
      <c r="K178" s="916">
        <v>0</v>
      </c>
      <c r="L178" s="916">
        <v>0</v>
      </c>
      <c r="M178" s="916">
        <v>0</v>
      </c>
      <c r="N178" s="916">
        <v>0</v>
      </c>
      <c r="O178" s="916">
        <f t="shared" si="20"/>
        <v>0</v>
      </c>
    </row>
    <row r="179" spans="1:15" hidden="1" x14ac:dyDescent="0.2">
      <c r="A179" s="2" t="s">
        <v>10</v>
      </c>
      <c r="B179" t="s">
        <v>142</v>
      </c>
      <c r="C179" s="916">
        <v>0</v>
      </c>
      <c r="D179" s="916">
        <v>0</v>
      </c>
      <c r="E179" s="916">
        <v>0</v>
      </c>
      <c r="F179" s="916">
        <v>0</v>
      </c>
      <c r="G179" s="916">
        <v>0</v>
      </c>
      <c r="H179" s="916">
        <v>0</v>
      </c>
      <c r="I179" s="916">
        <v>0</v>
      </c>
      <c r="J179" s="916">
        <v>0</v>
      </c>
      <c r="K179" s="916">
        <v>0</v>
      </c>
      <c r="L179" s="916">
        <v>0</v>
      </c>
      <c r="M179" s="916">
        <v>0</v>
      </c>
      <c r="N179" s="916">
        <v>0</v>
      </c>
      <c r="O179" s="916">
        <f t="shared" si="20"/>
        <v>0</v>
      </c>
    </row>
    <row r="180" spans="1:15" hidden="1" x14ac:dyDescent="0.2">
      <c r="A180" s="2" t="s">
        <v>10</v>
      </c>
      <c r="B180" t="s">
        <v>141</v>
      </c>
      <c r="C180" s="916">
        <v>0</v>
      </c>
      <c r="D180" s="916">
        <v>0</v>
      </c>
      <c r="E180" s="916">
        <v>0</v>
      </c>
      <c r="F180" s="916">
        <v>0</v>
      </c>
      <c r="G180" s="916">
        <v>0</v>
      </c>
      <c r="H180" s="916">
        <v>0</v>
      </c>
      <c r="I180" s="916">
        <v>0</v>
      </c>
      <c r="J180" s="916">
        <v>0</v>
      </c>
      <c r="K180" s="916">
        <v>0</v>
      </c>
      <c r="L180" s="916">
        <v>0</v>
      </c>
      <c r="M180" s="916">
        <v>0</v>
      </c>
      <c r="N180" s="916">
        <v>0</v>
      </c>
      <c r="O180" s="916">
        <f t="shared" si="20"/>
        <v>0</v>
      </c>
    </row>
    <row r="181" spans="1:15" hidden="1" x14ac:dyDescent="0.2">
      <c r="A181" s="2" t="s">
        <v>33</v>
      </c>
      <c r="B181" t="s">
        <v>222</v>
      </c>
      <c r="C181" s="916">
        <v>0</v>
      </c>
      <c r="D181" s="916">
        <v>0</v>
      </c>
      <c r="E181" s="916">
        <v>0</v>
      </c>
      <c r="F181" s="916">
        <v>0</v>
      </c>
      <c r="G181" s="916">
        <v>0</v>
      </c>
      <c r="H181" s="916">
        <v>0</v>
      </c>
      <c r="I181" s="916">
        <v>0</v>
      </c>
      <c r="J181" s="916">
        <v>0</v>
      </c>
      <c r="K181" s="916">
        <v>0</v>
      </c>
      <c r="L181" s="916">
        <v>0</v>
      </c>
      <c r="M181" s="916">
        <v>0</v>
      </c>
      <c r="N181" s="916">
        <v>0</v>
      </c>
      <c r="O181" s="916">
        <f t="shared" si="20"/>
        <v>0</v>
      </c>
    </row>
    <row r="182" spans="1:15" hidden="1" x14ac:dyDescent="0.2">
      <c r="A182" s="2" t="s">
        <v>10</v>
      </c>
      <c r="B182" t="s">
        <v>138</v>
      </c>
      <c r="C182" s="916">
        <v>0</v>
      </c>
      <c r="D182" s="916">
        <v>0</v>
      </c>
      <c r="E182" s="916">
        <v>0</v>
      </c>
      <c r="F182" s="916">
        <v>0</v>
      </c>
      <c r="G182" s="916">
        <v>0</v>
      </c>
      <c r="H182" s="916">
        <v>0</v>
      </c>
      <c r="I182" s="916">
        <v>0</v>
      </c>
      <c r="J182" s="916">
        <v>0</v>
      </c>
      <c r="K182" s="916">
        <v>0</v>
      </c>
      <c r="L182" s="916">
        <v>0</v>
      </c>
      <c r="M182" s="916">
        <v>0</v>
      </c>
      <c r="N182" s="916">
        <v>0</v>
      </c>
      <c r="O182" s="916">
        <f t="shared" si="20"/>
        <v>0</v>
      </c>
    </row>
    <row r="183" spans="1:15" hidden="1" x14ac:dyDescent="0.2">
      <c r="A183" s="2" t="s">
        <v>10</v>
      </c>
      <c r="B183" t="s">
        <v>136</v>
      </c>
      <c r="C183" s="916">
        <v>0</v>
      </c>
      <c r="D183" s="916">
        <v>0</v>
      </c>
      <c r="E183" s="916">
        <v>0</v>
      </c>
      <c r="F183" s="916">
        <v>0</v>
      </c>
      <c r="G183" s="916">
        <v>0</v>
      </c>
      <c r="H183" s="916">
        <v>0</v>
      </c>
      <c r="I183" s="916">
        <v>0</v>
      </c>
      <c r="J183" s="916">
        <v>0</v>
      </c>
      <c r="K183" s="916">
        <v>0</v>
      </c>
      <c r="L183" s="916">
        <v>0</v>
      </c>
      <c r="M183" s="916">
        <v>0</v>
      </c>
      <c r="N183" s="916">
        <v>0</v>
      </c>
      <c r="O183" s="916">
        <f t="shared" si="20"/>
        <v>0</v>
      </c>
    </row>
    <row r="184" spans="1:15" hidden="1" x14ac:dyDescent="0.2">
      <c r="B184" t="s">
        <v>223</v>
      </c>
      <c r="C184" s="916">
        <v>0</v>
      </c>
      <c r="D184" s="916">
        <v>0</v>
      </c>
      <c r="E184" s="916">
        <v>0</v>
      </c>
      <c r="F184" s="916">
        <v>0</v>
      </c>
      <c r="G184" s="916">
        <v>0</v>
      </c>
      <c r="H184" s="916">
        <v>0</v>
      </c>
      <c r="I184" s="916">
        <v>0</v>
      </c>
      <c r="J184" s="916">
        <v>0</v>
      </c>
      <c r="K184" s="916">
        <v>0</v>
      </c>
      <c r="L184" s="916">
        <v>0</v>
      </c>
      <c r="M184" s="916">
        <v>0</v>
      </c>
      <c r="N184" s="916">
        <v>0</v>
      </c>
      <c r="O184" s="916">
        <f t="shared" si="20"/>
        <v>0</v>
      </c>
    </row>
    <row r="185" spans="1:15" hidden="1" x14ac:dyDescent="0.2">
      <c r="B185" t="s">
        <v>224</v>
      </c>
      <c r="C185" s="916">
        <v>0</v>
      </c>
      <c r="D185" s="916">
        <v>0</v>
      </c>
      <c r="E185" s="916">
        <v>0</v>
      </c>
      <c r="F185" s="916">
        <v>0</v>
      </c>
      <c r="G185" s="916">
        <v>0</v>
      </c>
      <c r="H185" s="916">
        <v>0</v>
      </c>
      <c r="I185" s="916">
        <v>0</v>
      </c>
      <c r="J185" s="916">
        <v>0</v>
      </c>
      <c r="K185" s="916">
        <v>0</v>
      </c>
      <c r="L185" s="916">
        <v>0</v>
      </c>
      <c r="M185" s="916">
        <v>0</v>
      </c>
      <c r="N185" s="916">
        <v>0</v>
      </c>
      <c r="O185" s="916">
        <f t="shared" si="20"/>
        <v>0</v>
      </c>
    </row>
    <row r="186" spans="1:15" hidden="1" x14ac:dyDescent="0.2">
      <c r="B186" t="s">
        <v>225</v>
      </c>
      <c r="C186" s="916">
        <v>0</v>
      </c>
      <c r="D186" s="916">
        <v>0</v>
      </c>
      <c r="E186" s="916">
        <v>0</v>
      </c>
      <c r="F186" s="916">
        <v>0</v>
      </c>
      <c r="G186" s="916">
        <v>0</v>
      </c>
      <c r="H186" s="916">
        <v>0</v>
      </c>
      <c r="I186" s="916">
        <v>0</v>
      </c>
      <c r="J186" s="916">
        <v>0</v>
      </c>
      <c r="K186" s="916">
        <v>0</v>
      </c>
      <c r="L186" s="916">
        <v>0</v>
      </c>
      <c r="M186" s="916">
        <v>0</v>
      </c>
      <c r="N186" s="916">
        <v>0</v>
      </c>
      <c r="O186" s="916">
        <f t="shared" si="20"/>
        <v>0</v>
      </c>
    </row>
    <row r="187" spans="1:15" hidden="1" x14ac:dyDescent="0.2">
      <c r="B187" t="s">
        <v>226</v>
      </c>
      <c r="C187" s="916">
        <v>0</v>
      </c>
      <c r="D187" s="916">
        <v>0</v>
      </c>
      <c r="E187" s="916">
        <v>0</v>
      </c>
      <c r="F187" s="916">
        <v>0</v>
      </c>
      <c r="G187" s="916">
        <v>0</v>
      </c>
      <c r="H187" s="916">
        <v>0</v>
      </c>
      <c r="I187" s="916">
        <v>0</v>
      </c>
      <c r="J187" s="916">
        <v>0</v>
      </c>
      <c r="K187" s="916">
        <v>0</v>
      </c>
      <c r="L187" s="916">
        <v>0</v>
      </c>
      <c r="M187" s="916">
        <v>0</v>
      </c>
      <c r="N187" s="916">
        <v>0</v>
      </c>
      <c r="O187" s="916">
        <f t="shared" si="20"/>
        <v>0</v>
      </c>
    </row>
    <row r="188" spans="1:15" hidden="1" x14ac:dyDescent="0.2">
      <c r="B188" t="s">
        <v>227</v>
      </c>
      <c r="C188" s="916">
        <v>0</v>
      </c>
      <c r="D188" s="916">
        <v>0</v>
      </c>
      <c r="E188" s="916">
        <v>0</v>
      </c>
      <c r="F188" s="916">
        <v>0</v>
      </c>
      <c r="G188" s="916">
        <v>0</v>
      </c>
      <c r="H188" s="916">
        <v>0</v>
      </c>
      <c r="I188" s="916">
        <v>0</v>
      </c>
      <c r="J188" s="916">
        <v>0</v>
      </c>
      <c r="K188" s="916">
        <v>0</v>
      </c>
      <c r="L188" s="916">
        <v>0</v>
      </c>
      <c r="M188" s="916">
        <v>0</v>
      </c>
      <c r="N188" s="916">
        <v>0</v>
      </c>
      <c r="O188" s="916">
        <f t="shared" si="20"/>
        <v>0</v>
      </c>
    </row>
    <row r="189" spans="1:15" hidden="1" x14ac:dyDescent="0.2">
      <c r="B189" t="s">
        <v>228</v>
      </c>
      <c r="C189" s="916">
        <v>0</v>
      </c>
      <c r="D189" s="916">
        <v>0</v>
      </c>
      <c r="E189" s="916">
        <v>0</v>
      </c>
      <c r="F189" s="916">
        <v>0</v>
      </c>
      <c r="G189" s="916">
        <v>0</v>
      </c>
      <c r="H189" s="916">
        <v>0</v>
      </c>
      <c r="I189" s="916">
        <v>0</v>
      </c>
      <c r="J189" s="916">
        <v>0</v>
      </c>
      <c r="K189" s="916">
        <v>0</v>
      </c>
      <c r="L189" s="916">
        <v>0</v>
      </c>
      <c r="M189" s="916">
        <v>0</v>
      </c>
      <c r="N189" s="916">
        <v>0</v>
      </c>
      <c r="O189" s="916">
        <f t="shared" si="20"/>
        <v>0</v>
      </c>
    </row>
    <row r="190" spans="1:15" hidden="1" x14ac:dyDescent="0.2">
      <c r="B190" t="s">
        <v>229</v>
      </c>
      <c r="C190" s="916">
        <v>0</v>
      </c>
      <c r="D190" s="916">
        <v>0</v>
      </c>
      <c r="E190" s="916">
        <v>0</v>
      </c>
      <c r="F190" s="916">
        <v>0</v>
      </c>
      <c r="G190" s="916">
        <v>0</v>
      </c>
      <c r="H190" s="916">
        <v>0</v>
      </c>
      <c r="I190" s="916">
        <v>0</v>
      </c>
      <c r="J190" s="916">
        <v>0</v>
      </c>
      <c r="K190" s="916">
        <v>0</v>
      </c>
      <c r="L190" s="916">
        <v>0</v>
      </c>
      <c r="M190" s="916">
        <v>0</v>
      </c>
      <c r="N190" s="916">
        <v>0</v>
      </c>
      <c r="O190" s="916">
        <f t="shared" si="20"/>
        <v>0</v>
      </c>
    </row>
    <row r="191" spans="1:15" hidden="1" x14ac:dyDescent="0.2">
      <c r="B191" t="s">
        <v>230</v>
      </c>
      <c r="C191" s="916">
        <v>0</v>
      </c>
      <c r="D191" s="916">
        <v>0</v>
      </c>
      <c r="E191" s="916">
        <v>0</v>
      </c>
      <c r="F191" s="916">
        <v>0</v>
      </c>
      <c r="G191" s="916">
        <v>0</v>
      </c>
      <c r="H191" s="916">
        <v>0</v>
      </c>
      <c r="I191" s="916">
        <v>0</v>
      </c>
      <c r="J191" s="916">
        <v>0</v>
      </c>
      <c r="K191" s="916">
        <v>0</v>
      </c>
      <c r="L191" s="916">
        <v>0</v>
      </c>
      <c r="M191" s="916">
        <v>0</v>
      </c>
      <c r="N191" s="916">
        <v>0</v>
      </c>
      <c r="O191" s="916">
        <f t="shared" si="20"/>
        <v>0</v>
      </c>
    </row>
    <row r="192" spans="1:15" hidden="1" x14ac:dyDescent="0.2">
      <c r="B192" t="s">
        <v>231</v>
      </c>
      <c r="C192" s="916">
        <v>0</v>
      </c>
      <c r="D192" s="916">
        <v>0</v>
      </c>
      <c r="E192" s="916">
        <v>0</v>
      </c>
      <c r="F192" s="916">
        <v>0</v>
      </c>
      <c r="G192" s="916">
        <v>0</v>
      </c>
      <c r="H192" s="916">
        <v>0</v>
      </c>
      <c r="I192" s="916">
        <v>0</v>
      </c>
      <c r="J192" s="916">
        <v>0</v>
      </c>
      <c r="K192" s="916">
        <v>0</v>
      </c>
      <c r="L192" s="916">
        <v>0</v>
      </c>
      <c r="M192" s="916">
        <v>0</v>
      </c>
      <c r="N192" s="916">
        <v>0</v>
      </c>
      <c r="O192" s="916">
        <f t="shared" si="20"/>
        <v>0</v>
      </c>
    </row>
    <row r="193" spans="2:15" hidden="1" x14ac:dyDescent="0.2">
      <c r="B193" t="s">
        <v>232</v>
      </c>
      <c r="C193" s="916">
        <v>0</v>
      </c>
      <c r="D193" s="916">
        <v>0</v>
      </c>
      <c r="E193" s="916">
        <v>0</v>
      </c>
      <c r="F193" s="916">
        <v>0</v>
      </c>
      <c r="G193" s="916">
        <v>0</v>
      </c>
      <c r="H193" s="916">
        <v>0</v>
      </c>
      <c r="I193" s="916">
        <v>0</v>
      </c>
      <c r="J193" s="916">
        <v>0</v>
      </c>
      <c r="K193" s="916">
        <v>0</v>
      </c>
      <c r="L193" s="916">
        <v>0</v>
      </c>
      <c r="M193" s="916">
        <v>0</v>
      </c>
      <c r="N193" s="916">
        <v>0</v>
      </c>
      <c r="O193" s="916">
        <f t="shared" si="20"/>
        <v>0</v>
      </c>
    </row>
    <row r="194" spans="2:15" hidden="1" x14ac:dyDescent="0.2">
      <c r="B194" t="s">
        <v>233</v>
      </c>
      <c r="C194" s="916">
        <v>0</v>
      </c>
      <c r="D194" s="916">
        <v>0</v>
      </c>
      <c r="E194" s="916">
        <v>0</v>
      </c>
      <c r="F194" s="916">
        <v>0</v>
      </c>
      <c r="G194" s="916">
        <v>0</v>
      </c>
      <c r="H194" s="916">
        <v>0</v>
      </c>
      <c r="I194" s="916">
        <v>0</v>
      </c>
      <c r="J194" s="916">
        <v>0</v>
      </c>
      <c r="K194" s="916">
        <v>0</v>
      </c>
      <c r="L194" s="916">
        <v>0</v>
      </c>
      <c r="M194" s="916">
        <v>0</v>
      </c>
      <c r="N194" s="916">
        <v>0</v>
      </c>
      <c r="O194" s="916">
        <f t="shared" si="20"/>
        <v>0</v>
      </c>
    </row>
    <row r="195" spans="2:15" hidden="1" x14ac:dyDescent="0.2">
      <c r="B195" t="s">
        <v>234</v>
      </c>
      <c r="C195" s="916">
        <v>0</v>
      </c>
      <c r="D195" s="916">
        <v>0</v>
      </c>
      <c r="E195" s="916">
        <v>0</v>
      </c>
      <c r="F195" s="916">
        <v>0</v>
      </c>
      <c r="G195" s="916">
        <v>0</v>
      </c>
      <c r="H195" s="916">
        <v>0</v>
      </c>
      <c r="I195" s="916">
        <v>0</v>
      </c>
      <c r="J195" s="916">
        <v>0</v>
      </c>
      <c r="K195" s="916">
        <v>0</v>
      </c>
      <c r="L195" s="916">
        <v>0</v>
      </c>
      <c r="M195" s="916">
        <v>0</v>
      </c>
      <c r="N195" s="916">
        <v>0</v>
      </c>
      <c r="O195" s="916">
        <f t="shared" si="20"/>
        <v>0</v>
      </c>
    </row>
    <row r="196" spans="2:15" x14ac:dyDescent="0.2">
      <c r="B196" t="s">
        <v>9</v>
      </c>
      <c r="C196" s="916">
        <v>0</v>
      </c>
      <c r="D196" s="916">
        <v>0</v>
      </c>
      <c r="E196" s="916">
        <v>0</v>
      </c>
      <c r="F196" s="916">
        <v>0</v>
      </c>
      <c r="G196" s="916">
        <v>0</v>
      </c>
      <c r="H196" s="916">
        <v>0</v>
      </c>
      <c r="I196" s="916">
        <v>0</v>
      </c>
      <c r="J196" s="916">
        <v>0</v>
      </c>
      <c r="K196" s="916">
        <v>0</v>
      </c>
      <c r="L196" s="916">
        <v>0</v>
      </c>
      <c r="M196" s="916">
        <v>0</v>
      </c>
      <c r="N196" s="916">
        <v>-899591</v>
      </c>
      <c r="O196" s="916">
        <f t="shared" si="20"/>
        <v>-899591</v>
      </c>
    </row>
    <row r="197" spans="2:15" hidden="1" x14ac:dyDescent="0.2">
      <c r="B197" s="3" t="s">
        <v>581</v>
      </c>
      <c r="C197" s="916">
        <v>0</v>
      </c>
      <c r="D197" s="916">
        <v>0</v>
      </c>
      <c r="E197" s="916">
        <v>0</v>
      </c>
      <c r="F197" s="916">
        <v>0</v>
      </c>
      <c r="G197" s="916">
        <v>0</v>
      </c>
      <c r="H197" s="916">
        <v>0</v>
      </c>
      <c r="I197" s="916">
        <v>0</v>
      </c>
      <c r="J197" s="916">
        <v>0</v>
      </c>
      <c r="K197" s="916">
        <v>0</v>
      </c>
      <c r="L197" s="916">
        <v>0</v>
      </c>
      <c r="M197" s="916">
        <v>0</v>
      </c>
      <c r="N197" s="916">
        <v>0</v>
      </c>
      <c r="O197" s="916">
        <f t="shared" si="20"/>
        <v>0</v>
      </c>
    </row>
    <row r="198" spans="2:15" hidden="1" x14ac:dyDescent="0.2">
      <c r="B198" s="3" t="s">
        <v>235</v>
      </c>
      <c r="C198" s="916">
        <v>0</v>
      </c>
      <c r="D198" s="916">
        <v>0</v>
      </c>
      <c r="E198" s="916">
        <v>0</v>
      </c>
      <c r="F198" s="916">
        <v>0</v>
      </c>
      <c r="G198" s="916">
        <v>0</v>
      </c>
      <c r="H198" s="916">
        <v>0</v>
      </c>
      <c r="I198" s="916">
        <v>0</v>
      </c>
      <c r="J198" s="916">
        <v>0</v>
      </c>
      <c r="K198" s="916">
        <v>0</v>
      </c>
      <c r="L198" s="916">
        <v>0</v>
      </c>
      <c r="M198" s="916">
        <v>0</v>
      </c>
      <c r="N198" s="916">
        <v>0</v>
      </c>
      <c r="O198" s="916">
        <f t="shared" si="20"/>
        <v>0</v>
      </c>
    </row>
    <row r="199" spans="2:15" x14ac:dyDescent="0.2">
      <c r="B199" t="s">
        <v>236</v>
      </c>
      <c r="C199" s="916">
        <v>0</v>
      </c>
      <c r="D199" s="916">
        <v>0</v>
      </c>
      <c r="E199" s="916">
        <v>0</v>
      </c>
      <c r="F199" s="916">
        <v>0</v>
      </c>
      <c r="G199" s="916">
        <v>0</v>
      </c>
      <c r="H199" s="916">
        <v>0</v>
      </c>
      <c r="I199" s="916">
        <v>0</v>
      </c>
      <c r="J199" s="916">
        <v>0</v>
      </c>
      <c r="K199" s="916">
        <v>0</v>
      </c>
      <c r="L199" s="916">
        <v>0</v>
      </c>
      <c r="M199" s="916">
        <v>0</v>
      </c>
      <c r="N199" s="916">
        <v>-38675</v>
      </c>
      <c r="O199" s="916">
        <f t="shared" ref="O199:O223" si="21">SUM(C199:N199)</f>
        <v>-38675</v>
      </c>
    </row>
    <row r="200" spans="2:15" hidden="1" x14ac:dyDescent="0.2">
      <c r="B200" t="s">
        <v>237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f t="shared" si="21"/>
        <v>0</v>
      </c>
    </row>
    <row r="201" spans="2:15" hidden="1" x14ac:dyDescent="0.2">
      <c r="B201" t="s">
        <v>238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f t="shared" si="21"/>
        <v>0</v>
      </c>
    </row>
    <row r="202" spans="2:15" hidden="1" x14ac:dyDescent="0.2">
      <c r="B202" t="s">
        <v>239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f t="shared" si="21"/>
        <v>0</v>
      </c>
    </row>
    <row r="203" spans="2:15" hidden="1" x14ac:dyDescent="0.2">
      <c r="B203" t="s">
        <v>240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f t="shared" si="21"/>
        <v>0</v>
      </c>
    </row>
    <row r="204" spans="2:15" hidden="1" x14ac:dyDescent="0.2">
      <c r="B204" t="s">
        <v>241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f t="shared" si="21"/>
        <v>0</v>
      </c>
    </row>
    <row r="205" spans="2:15" hidden="1" x14ac:dyDescent="0.2">
      <c r="B205" t="s">
        <v>242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f t="shared" si="21"/>
        <v>0</v>
      </c>
    </row>
    <row r="206" spans="2:15" hidden="1" x14ac:dyDescent="0.2">
      <c r="B206" t="s">
        <v>243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f t="shared" si="21"/>
        <v>0</v>
      </c>
    </row>
    <row r="207" spans="2:15" hidden="1" x14ac:dyDescent="0.2">
      <c r="B207" t="s">
        <v>244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f t="shared" si="21"/>
        <v>0</v>
      </c>
    </row>
    <row r="208" spans="2:15" hidden="1" x14ac:dyDescent="0.2">
      <c r="B208" s="2" t="s">
        <v>245</v>
      </c>
      <c r="O208" s="12">
        <f t="shared" si="21"/>
        <v>0</v>
      </c>
    </row>
    <row r="209" spans="2:15" hidden="1" x14ac:dyDescent="0.2">
      <c r="B209" t="s">
        <v>246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f t="shared" si="21"/>
        <v>0</v>
      </c>
    </row>
    <row r="210" spans="2:15" hidden="1" x14ac:dyDescent="0.2">
      <c r="B210" t="s">
        <v>247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f t="shared" si="21"/>
        <v>0</v>
      </c>
    </row>
    <row r="211" spans="2:15" hidden="1" x14ac:dyDescent="0.2">
      <c r="B211" t="s">
        <v>248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f t="shared" si="21"/>
        <v>0</v>
      </c>
    </row>
    <row r="212" spans="2:15" hidden="1" x14ac:dyDescent="0.2">
      <c r="B212" t="s">
        <v>249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f t="shared" si="21"/>
        <v>0</v>
      </c>
    </row>
    <row r="213" spans="2:15" hidden="1" x14ac:dyDescent="0.2">
      <c r="B213" t="s">
        <v>250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f t="shared" si="21"/>
        <v>0</v>
      </c>
    </row>
    <row r="214" spans="2:15" hidden="1" x14ac:dyDescent="0.2">
      <c r="B214" t="s">
        <v>251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f t="shared" si="21"/>
        <v>0</v>
      </c>
    </row>
    <row r="215" spans="2:15" hidden="1" x14ac:dyDescent="0.2">
      <c r="B215" t="s">
        <v>252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f t="shared" si="21"/>
        <v>0</v>
      </c>
    </row>
    <row r="216" spans="2:15" hidden="1" x14ac:dyDescent="0.2">
      <c r="B216" t="s">
        <v>253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f t="shared" si="21"/>
        <v>0</v>
      </c>
    </row>
    <row r="217" spans="2:15" hidden="1" x14ac:dyDescent="0.2">
      <c r="B217" t="s">
        <v>254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f t="shared" si="21"/>
        <v>0</v>
      </c>
    </row>
    <row r="218" spans="2:15" hidden="1" x14ac:dyDescent="0.2">
      <c r="B218" t="s">
        <v>255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f t="shared" si="21"/>
        <v>0</v>
      </c>
    </row>
    <row r="219" spans="2:15" hidden="1" x14ac:dyDescent="0.2">
      <c r="B219" t="s">
        <v>256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f t="shared" si="21"/>
        <v>0</v>
      </c>
    </row>
    <row r="220" spans="2:15" hidden="1" x14ac:dyDescent="0.2">
      <c r="B220" t="s">
        <v>257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f t="shared" si="21"/>
        <v>0</v>
      </c>
    </row>
    <row r="221" spans="2:15" hidden="1" x14ac:dyDescent="0.2">
      <c r="B221" t="s">
        <v>258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f t="shared" si="21"/>
        <v>0</v>
      </c>
    </row>
    <row r="222" spans="2:15" hidden="1" x14ac:dyDescent="0.2">
      <c r="B222" t="s">
        <v>259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f t="shared" si="21"/>
        <v>0</v>
      </c>
    </row>
    <row r="223" spans="2:15" hidden="1" x14ac:dyDescent="0.2">
      <c r="B223" t="s">
        <v>260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f t="shared" si="21"/>
        <v>0</v>
      </c>
    </row>
    <row r="224" spans="2:15" x14ac:dyDescent="0.2">
      <c r="O224" s="12"/>
    </row>
  </sheetData>
  <pageMargins left="0.7" right="0.7" top="0.75" bottom="0.75" header="0.3" footer="0.3"/>
  <pageSetup scale="58" orientation="portrait" r:id="rId1"/>
  <colBreaks count="1" manualBreakCount="1">
    <brk id="8" max="1048575" man="1"/>
  </col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E3DA-5277-4795-AD02-EB6220535D1A}">
  <sheetPr>
    <tabColor rgb="FFFF0000"/>
  </sheetPr>
  <dimension ref="A1:M89"/>
  <sheetViews>
    <sheetView showGridLines="0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 x14ac:dyDescent="0.25"/>
  <cols>
    <col min="1" max="1" width="3" style="62" customWidth="1"/>
    <col min="2" max="2" width="12" style="62" customWidth="1"/>
    <col min="3" max="3" width="52.42578125" style="60" bestFit="1" customWidth="1"/>
    <col min="4" max="4" width="19.28515625" style="60" customWidth="1"/>
    <col min="5" max="5" width="17.28515625" style="60" customWidth="1"/>
    <col min="6" max="6" width="15.85546875" style="60" customWidth="1"/>
    <col min="7" max="8" width="18" style="60" customWidth="1"/>
    <col min="9" max="9" width="73.28515625" style="60" bestFit="1" customWidth="1"/>
    <col min="10" max="10" width="12.5703125" style="311" bestFit="1" customWidth="1"/>
    <col min="11" max="11" width="12.85546875" style="311" bestFit="1" customWidth="1"/>
    <col min="12" max="12" width="6.140625" style="225" bestFit="1" customWidth="1"/>
    <col min="13" max="13" width="26.85546875" style="60" bestFit="1" customWidth="1"/>
    <col min="14" max="16384" width="9.140625" style="60"/>
  </cols>
  <sheetData>
    <row r="1" spans="1:13" x14ac:dyDescent="0.25">
      <c r="A1" s="54" t="s">
        <v>309</v>
      </c>
      <c r="B1" s="55"/>
      <c r="C1" s="56" t="s">
        <v>805</v>
      </c>
      <c r="D1" s="57">
        <v>-1</v>
      </c>
      <c r="E1" s="58">
        <v>-2</v>
      </c>
      <c r="F1" s="59">
        <v>-3</v>
      </c>
      <c r="G1" s="58">
        <v>-4</v>
      </c>
      <c r="H1" s="57"/>
    </row>
    <row r="2" spans="1:13" x14ac:dyDescent="0.25">
      <c r="A2" s="61" t="s">
        <v>311</v>
      </c>
      <c r="C2" s="63" t="s">
        <v>806</v>
      </c>
      <c r="D2" s="64"/>
      <c r="E2" s="65" t="s">
        <v>313</v>
      </c>
      <c r="F2" s="66" t="s">
        <v>314</v>
      </c>
      <c r="G2" s="67"/>
      <c r="H2" s="68" t="s">
        <v>315</v>
      </c>
    </row>
    <row r="3" spans="1:13" s="76" customFormat="1" x14ac:dyDescent="0.2">
      <c r="A3" s="69"/>
      <c r="B3" s="70"/>
      <c r="C3" s="71"/>
      <c r="D3" s="72" t="s">
        <v>316</v>
      </c>
      <c r="E3" s="72" t="s">
        <v>317</v>
      </c>
      <c r="F3" s="73" t="s">
        <v>0</v>
      </c>
      <c r="G3" s="74"/>
      <c r="H3" s="75" t="s">
        <v>318</v>
      </c>
      <c r="J3" s="634" t="s">
        <v>0</v>
      </c>
      <c r="K3" s="635" t="s">
        <v>490</v>
      </c>
      <c r="L3" s="636"/>
    </row>
    <row r="4" spans="1:13" s="77" customFormat="1" x14ac:dyDescent="0.25">
      <c r="A4" s="69"/>
      <c r="B4" s="70"/>
      <c r="C4" s="71" t="s">
        <v>319</v>
      </c>
      <c r="D4" s="72" t="s">
        <v>320</v>
      </c>
      <c r="E4" s="72" t="s">
        <v>320</v>
      </c>
      <c r="F4" s="75" t="s">
        <v>321</v>
      </c>
      <c r="G4" s="72" t="s">
        <v>322</v>
      </c>
      <c r="H4" s="75" t="s">
        <v>323</v>
      </c>
      <c r="I4" s="76"/>
      <c r="J4" s="637"/>
      <c r="K4" s="637"/>
      <c r="L4" s="638"/>
    </row>
    <row r="5" spans="1:13" s="77" customFormat="1" x14ac:dyDescent="0.25">
      <c r="A5" s="78"/>
      <c r="B5" s="79"/>
      <c r="C5" s="80" t="s">
        <v>315</v>
      </c>
      <c r="D5" s="81">
        <v>43281</v>
      </c>
      <c r="E5" s="81">
        <v>43646</v>
      </c>
      <c r="F5" s="82" t="s">
        <v>324</v>
      </c>
      <c r="G5" s="83" t="s">
        <v>324</v>
      </c>
      <c r="H5" s="82" t="s">
        <v>0</v>
      </c>
      <c r="I5" s="84" t="s">
        <v>575</v>
      </c>
      <c r="J5" s="637"/>
      <c r="K5" s="637"/>
      <c r="L5" s="638"/>
    </row>
    <row r="6" spans="1:13" x14ac:dyDescent="0.25">
      <c r="A6" s="85" t="s">
        <v>326</v>
      </c>
      <c r="B6" s="86"/>
      <c r="C6" s="87" t="s">
        <v>327</v>
      </c>
      <c r="D6" s="88"/>
      <c r="E6" s="88"/>
      <c r="F6" s="89"/>
      <c r="G6" s="90"/>
      <c r="H6" s="91">
        <v>0</v>
      </c>
      <c r="I6" s="92"/>
    </row>
    <row r="7" spans="1:13" x14ac:dyDescent="0.25">
      <c r="A7" s="93" t="s">
        <v>328</v>
      </c>
      <c r="B7" s="94"/>
      <c r="C7" s="95" t="s">
        <v>329</v>
      </c>
      <c r="D7" s="88">
        <v>0</v>
      </c>
      <c r="E7" s="88">
        <v>0</v>
      </c>
      <c r="F7" s="89">
        <v>0</v>
      </c>
      <c r="G7" s="90">
        <v>0</v>
      </c>
      <c r="H7" s="91"/>
      <c r="I7" s="92" t="s">
        <v>807</v>
      </c>
      <c r="J7" s="311">
        <v>10000</v>
      </c>
      <c r="K7" s="311">
        <f>+H7+J7</f>
        <v>10000</v>
      </c>
      <c r="M7" s="639"/>
    </row>
    <row r="8" spans="1:13" x14ac:dyDescent="0.25">
      <c r="A8" s="96"/>
      <c r="B8" s="94" t="s">
        <v>330</v>
      </c>
      <c r="C8" s="95" t="s">
        <v>274</v>
      </c>
      <c r="D8" s="88">
        <v>0</v>
      </c>
      <c r="E8" s="88">
        <v>0</v>
      </c>
      <c r="F8" s="88">
        <v>0</v>
      </c>
      <c r="G8" s="90">
        <v>0</v>
      </c>
      <c r="H8" s="91">
        <v>780469</v>
      </c>
      <c r="I8" s="92" t="s">
        <v>808</v>
      </c>
      <c r="J8" s="311">
        <f>1684380+561460</f>
        <v>2245840</v>
      </c>
      <c r="K8" s="311">
        <f t="shared" ref="K8:K32" si="0">+H8+J8</f>
        <v>3026309</v>
      </c>
      <c r="M8" s="639"/>
    </row>
    <row r="9" spans="1:13" x14ac:dyDescent="0.25">
      <c r="A9" s="96"/>
      <c r="B9" s="94" t="s">
        <v>331</v>
      </c>
      <c r="C9" s="95" t="s">
        <v>332</v>
      </c>
      <c r="D9" s="88">
        <v>0</v>
      </c>
      <c r="E9" s="88">
        <v>0</v>
      </c>
      <c r="F9" s="88">
        <v>0</v>
      </c>
      <c r="G9" s="90">
        <v>0</v>
      </c>
      <c r="H9" s="91">
        <v>473306</v>
      </c>
      <c r="I9" s="92" t="s">
        <v>808</v>
      </c>
      <c r="J9" s="311">
        <v>1966516</v>
      </c>
      <c r="K9" s="311">
        <f t="shared" si="0"/>
        <v>2439822</v>
      </c>
      <c r="M9" s="639"/>
    </row>
    <row r="10" spans="1:13" hidden="1" x14ac:dyDescent="0.25">
      <c r="A10" s="96"/>
      <c r="B10" s="94" t="s">
        <v>333</v>
      </c>
      <c r="C10" s="95" t="s">
        <v>334</v>
      </c>
      <c r="D10" s="88">
        <v>0</v>
      </c>
      <c r="E10" s="88">
        <v>0</v>
      </c>
      <c r="F10" s="88">
        <v>0</v>
      </c>
      <c r="G10" s="90">
        <v>0</v>
      </c>
      <c r="H10" s="91">
        <v>0</v>
      </c>
      <c r="I10" s="92"/>
      <c r="K10" s="311">
        <f t="shared" si="0"/>
        <v>0</v>
      </c>
    </row>
    <row r="11" spans="1:13" x14ac:dyDescent="0.25">
      <c r="A11" s="96"/>
      <c r="B11" s="94" t="s">
        <v>335</v>
      </c>
      <c r="C11" s="95" t="s">
        <v>276</v>
      </c>
      <c r="D11" s="88">
        <v>0</v>
      </c>
      <c r="E11" s="88">
        <v>0</v>
      </c>
      <c r="F11" s="88">
        <v>0</v>
      </c>
      <c r="G11" s="90">
        <v>0</v>
      </c>
      <c r="H11" s="91">
        <v>210000</v>
      </c>
      <c r="I11" s="92" t="s">
        <v>809</v>
      </c>
      <c r="J11" s="311">
        <v>2979845</v>
      </c>
      <c r="K11" s="311">
        <f t="shared" si="0"/>
        <v>3189845</v>
      </c>
      <c r="M11" s="639"/>
    </row>
    <row r="12" spans="1:13" x14ac:dyDescent="0.25">
      <c r="A12" s="96"/>
      <c r="B12" s="94" t="s">
        <v>336</v>
      </c>
      <c r="C12" s="95" t="s">
        <v>227</v>
      </c>
      <c r="D12" s="88">
        <v>0</v>
      </c>
      <c r="E12" s="88">
        <v>0</v>
      </c>
      <c r="F12" s="89">
        <v>0</v>
      </c>
      <c r="G12" s="90">
        <v>0</v>
      </c>
      <c r="H12" s="91">
        <v>0</v>
      </c>
      <c r="I12" s="92"/>
      <c r="K12" s="311">
        <f t="shared" si="0"/>
        <v>0</v>
      </c>
    </row>
    <row r="13" spans="1:13" hidden="1" x14ac:dyDescent="0.25">
      <c r="A13" s="96" t="s">
        <v>337</v>
      </c>
      <c r="B13" s="94"/>
      <c r="C13" s="95" t="s">
        <v>338</v>
      </c>
      <c r="D13" s="88">
        <v>0</v>
      </c>
      <c r="E13" s="88">
        <v>0</v>
      </c>
      <c r="F13" s="89">
        <v>0</v>
      </c>
      <c r="G13" s="90">
        <v>0</v>
      </c>
      <c r="H13" s="91">
        <v>0</v>
      </c>
      <c r="I13" s="92"/>
      <c r="K13" s="311">
        <f t="shared" si="0"/>
        <v>0</v>
      </c>
    </row>
    <row r="14" spans="1:13" x14ac:dyDescent="0.25">
      <c r="A14" s="96"/>
      <c r="B14" s="94" t="s">
        <v>339</v>
      </c>
      <c r="C14" s="95" t="s">
        <v>277</v>
      </c>
      <c r="D14" s="88">
        <v>0</v>
      </c>
      <c r="E14" s="88">
        <v>0</v>
      </c>
      <c r="F14" s="88">
        <v>0</v>
      </c>
      <c r="G14" s="90">
        <v>0</v>
      </c>
      <c r="H14" s="91">
        <v>0</v>
      </c>
      <c r="I14" s="92"/>
      <c r="K14" s="311">
        <f t="shared" si="0"/>
        <v>0</v>
      </c>
    </row>
    <row r="15" spans="1:13" x14ac:dyDescent="0.25">
      <c r="A15" s="96"/>
      <c r="B15" s="94" t="s">
        <v>340</v>
      </c>
      <c r="C15" s="95" t="s">
        <v>278</v>
      </c>
      <c r="D15" s="88">
        <v>0</v>
      </c>
      <c r="E15" s="88">
        <v>0</v>
      </c>
      <c r="F15" s="88">
        <v>0</v>
      </c>
      <c r="G15" s="90">
        <v>0</v>
      </c>
      <c r="H15" s="91">
        <v>143824</v>
      </c>
      <c r="I15" s="92" t="s">
        <v>810</v>
      </c>
      <c r="J15" s="311">
        <v>866409</v>
      </c>
      <c r="K15" s="311">
        <f t="shared" si="0"/>
        <v>1010233</v>
      </c>
    </row>
    <row r="16" spans="1:13" hidden="1" x14ac:dyDescent="0.25">
      <c r="A16" s="96"/>
      <c r="B16" s="94" t="s">
        <v>341</v>
      </c>
      <c r="C16" s="95" t="s">
        <v>342</v>
      </c>
      <c r="D16" s="88">
        <v>0</v>
      </c>
      <c r="E16" s="88">
        <v>0</v>
      </c>
      <c r="F16" s="89">
        <v>0</v>
      </c>
      <c r="G16" s="90">
        <v>0</v>
      </c>
      <c r="H16" s="91">
        <v>0</v>
      </c>
      <c r="I16" s="92"/>
      <c r="K16" s="311">
        <f t="shared" si="0"/>
        <v>0</v>
      </c>
    </row>
    <row r="17" spans="1:11" hidden="1" x14ac:dyDescent="0.25">
      <c r="A17" s="96" t="s">
        <v>343</v>
      </c>
      <c r="B17" s="94"/>
      <c r="C17" s="95" t="s">
        <v>344</v>
      </c>
      <c r="D17" s="88">
        <v>0</v>
      </c>
      <c r="E17" s="88">
        <v>0</v>
      </c>
      <c r="F17" s="89">
        <v>0</v>
      </c>
      <c r="G17" s="90">
        <v>0</v>
      </c>
      <c r="H17" s="91">
        <v>0</v>
      </c>
      <c r="I17" s="92"/>
      <c r="K17" s="311">
        <f t="shared" si="0"/>
        <v>0</v>
      </c>
    </row>
    <row r="18" spans="1:11" x14ac:dyDescent="0.25">
      <c r="A18" s="96" t="s">
        <v>345</v>
      </c>
      <c r="B18" s="94"/>
      <c r="C18" s="95" t="s">
        <v>282</v>
      </c>
      <c r="D18" s="88">
        <v>0</v>
      </c>
      <c r="E18" s="88">
        <v>0</v>
      </c>
      <c r="F18" s="89">
        <v>0</v>
      </c>
      <c r="G18" s="90">
        <v>0</v>
      </c>
      <c r="H18" s="91">
        <v>23000</v>
      </c>
      <c r="I18" s="92" t="s">
        <v>263</v>
      </c>
      <c r="K18" s="311">
        <f t="shared" si="0"/>
        <v>23000</v>
      </c>
    </row>
    <row r="19" spans="1:11" hidden="1" x14ac:dyDescent="0.25">
      <c r="A19" s="96" t="s">
        <v>346</v>
      </c>
      <c r="B19" s="94"/>
      <c r="C19" s="95" t="s">
        <v>283</v>
      </c>
      <c r="D19" s="88">
        <v>0</v>
      </c>
      <c r="E19" s="88">
        <v>0</v>
      </c>
      <c r="F19" s="89">
        <v>0</v>
      </c>
      <c r="G19" s="90">
        <v>0</v>
      </c>
      <c r="H19" s="91">
        <v>0</v>
      </c>
      <c r="I19" s="92"/>
      <c r="K19" s="311">
        <f t="shared" si="0"/>
        <v>0</v>
      </c>
    </row>
    <row r="20" spans="1:11" x14ac:dyDescent="0.25">
      <c r="A20" s="96" t="s">
        <v>347</v>
      </c>
      <c r="B20" s="94"/>
      <c r="C20" s="95" t="s">
        <v>284</v>
      </c>
      <c r="D20" s="88">
        <v>0</v>
      </c>
      <c r="E20" s="88">
        <v>0</v>
      </c>
      <c r="F20" s="89">
        <v>0</v>
      </c>
      <c r="G20" s="90">
        <v>0</v>
      </c>
      <c r="H20" s="91">
        <v>7250</v>
      </c>
      <c r="I20" s="92" t="s">
        <v>811</v>
      </c>
      <c r="K20" s="311">
        <f t="shared" si="0"/>
        <v>7250</v>
      </c>
    </row>
    <row r="21" spans="1:11" hidden="1" x14ac:dyDescent="0.25">
      <c r="A21" s="96" t="s">
        <v>348</v>
      </c>
      <c r="B21" s="94"/>
      <c r="C21" s="95" t="s">
        <v>349</v>
      </c>
      <c r="D21" s="88">
        <v>0</v>
      </c>
      <c r="E21" s="88">
        <v>0</v>
      </c>
      <c r="F21" s="89">
        <v>0</v>
      </c>
      <c r="G21" s="90">
        <v>0</v>
      </c>
      <c r="H21" s="91"/>
      <c r="I21" s="92"/>
      <c r="K21" s="311">
        <f t="shared" si="0"/>
        <v>0</v>
      </c>
    </row>
    <row r="22" spans="1:11" x14ac:dyDescent="0.25">
      <c r="A22" s="96"/>
      <c r="B22" s="94" t="s">
        <v>350</v>
      </c>
      <c r="C22" s="95" t="s">
        <v>351</v>
      </c>
      <c r="D22" s="88">
        <v>0</v>
      </c>
      <c r="E22" s="88">
        <v>0</v>
      </c>
      <c r="F22" s="89">
        <v>0</v>
      </c>
      <c r="G22" s="90">
        <v>0</v>
      </c>
      <c r="H22" s="91">
        <v>78071</v>
      </c>
      <c r="I22" s="92"/>
      <c r="K22" s="311">
        <f t="shared" si="0"/>
        <v>78071</v>
      </c>
    </row>
    <row r="23" spans="1:11" hidden="1" x14ac:dyDescent="0.25">
      <c r="A23" s="96"/>
      <c r="B23" s="94" t="s">
        <v>352</v>
      </c>
      <c r="C23" s="95" t="s">
        <v>353</v>
      </c>
      <c r="D23" s="88">
        <v>0</v>
      </c>
      <c r="E23" s="88">
        <v>0</v>
      </c>
      <c r="F23" s="89">
        <v>0</v>
      </c>
      <c r="G23" s="90">
        <v>0</v>
      </c>
      <c r="H23" s="91">
        <v>0</v>
      </c>
      <c r="I23" s="92"/>
      <c r="K23" s="311">
        <f t="shared" si="0"/>
        <v>0</v>
      </c>
    </row>
    <row r="24" spans="1:11" hidden="1" x14ac:dyDescent="0.25">
      <c r="A24" s="96"/>
      <c r="B24" s="94" t="s">
        <v>354</v>
      </c>
      <c r="C24" s="95" t="s">
        <v>355</v>
      </c>
      <c r="D24" s="88">
        <v>0</v>
      </c>
      <c r="E24" s="88">
        <v>0</v>
      </c>
      <c r="F24" s="89">
        <v>0</v>
      </c>
      <c r="G24" s="90">
        <v>0</v>
      </c>
      <c r="H24" s="91">
        <v>0</v>
      </c>
      <c r="I24" s="92"/>
      <c r="K24" s="311">
        <f t="shared" si="0"/>
        <v>0</v>
      </c>
    </row>
    <row r="25" spans="1:11" hidden="1" x14ac:dyDescent="0.25">
      <c r="A25" s="96"/>
      <c r="B25" s="94" t="s">
        <v>356</v>
      </c>
      <c r="C25" s="95" t="s">
        <v>357</v>
      </c>
      <c r="D25" s="88">
        <v>0</v>
      </c>
      <c r="E25" s="88">
        <v>0</v>
      </c>
      <c r="F25" s="89">
        <v>0</v>
      </c>
      <c r="G25" s="90">
        <v>0</v>
      </c>
      <c r="H25" s="91">
        <v>0</v>
      </c>
      <c r="I25" s="92"/>
      <c r="K25" s="311">
        <f t="shared" si="0"/>
        <v>0</v>
      </c>
    </row>
    <row r="26" spans="1:11" hidden="1" x14ac:dyDescent="0.25">
      <c r="A26" s="93" t="s">
        <v>358</v>
      </c>
      <c r="B26" s="94"/>
      <c r="C26" s="95" t="s">
        <v>359</v>
      </c>
      <c r="D26" s="88">
        <v>0</v>
      </c>
      <c r="E26" s="88">
        <v>0</v>
      </c>
      <c r="F26" s="89">
        <v>0</v>
      </c>
      <c r="G26" s="90">
        <v>0</v>
      </c>
      <c r="H26" s="91">
        <v>0</v>
      </c>
      <c r="I26" s="92"/>
      <c r="K26" s="311">
        <f t="shared" si="0"/>
        <v>0</v>
      </c>
    </row>
    <row r="27" spans="1:11" hidden="1" x14ac:dyDescent="0.25">
      <c r="A27" s="93" t="s">
        <v>360</v>
      </c>
      <c r="B27" s="94"/>
      <c r="C27" s="95" t="s">
        <v>361</v>
      </c>
      <c r="D27" s="88">
        <v>0</v>
      </c>
      <c r="E27" s="88">
        <v>0</v>
      </c>
      <c r="F27" s="89">
        <v>0</v>
      </c>
      <c r="G27" s="90">
        <v>0</v>
      </c>
      <c r="H27" s="91">
        <v>0</v>
      </c>
      <c r="I27" s="92"/>
      <c r="K27" s="311">
        <f t="shared" si="0"/>
        <v>0</v>
      </c>
    </row>
    <row r="28" spans="1:11" hidden="1" x14ac:dyDescent="0.25">
      <c r="A28" s="93" t="s">
        <v>362</v>
      </c>
      <c r="B28" s="94"/>
      <c r="C28" s="95" t="s">
        <v>280</v>
      </c>
      <c r="D28" s="88">
        <v>0</v>
      </c>
      <c r="E28" s="88">
        <v>0</v>
      </c>
      <c r="F28" s="89">
        <v>0</v>
      </c>
      <c r="G28" s="90">
        <v>0</v>
      </c>
      <c r="H28" s="91">
        <v>0</v>
      </c>
      <c r="I28" s="92"/>
      <c r="K28" s="311">
        <f t="shared" si="0"/>
        <v>0</v>
      </c>
    </row>
    <row r="29" spans="1:11" hidden="1" x14ac:dyDescent="0.25">
      <c r="A29" s="97"/>
      <c r="B29" s="98" t="s">
        <v>363</v>
      </c>
      <c r="C29" s="95" t="s">
        <v>287</v>
      </c>
      <c r="D29" s="88">
        <v>0</v>
      </c>
      <c r="E29" s="88">
        <v>0</v>
      </c>
      <c r="F29" s="89">
        <v>0</v>
      </c>
      <c r="G29" s="90">
        <v>0</v>
      </c>
      <c r="H29" s="91">
        <v>0</v>
      </c>
      <c r="I29" s="92"/>
      <c r="K29" s="311">
        <f t="shared" si="0"/>
        <v>0</v>
      </c>
    </row>
    <row r="30" spans="1:11" x14ac:dyDescent="0.25">
      <c r="A30" s="99"/>
      <c r="B30" s="98" t="s">
        <v>364</v>
      </c>
      <c r="C30" s="100" t="s">
        <v>288</v>
      </c>
      <c r="D30" s="88">
        <v>0</v>
      </c>
      <c r="E30" s="88">
        <v>0</v>
      </c>
      <c r="F30" s="89">
        <v>0</v>
      </c>
      <c r="G30" s="90">
        <v>0</v>
      </c>
      <c r="H30" s="91">
        <v>14622.5</v>
      </c>
      <c r="I30" s="92"/>
      <c r="K30" s="311">
        <f t="shared" si="0"/>
        <v>14622.5</v>
      </c>
    </row>
    <row r="31" spans="1:11" hidden="1" x14ac:dyDescent="0.25">
      <c r="A31" s="93" t="s">
        <v>365</v>
      </c>
      <c r="B31" s="94"/>
      <c r="C31" s="95" t="s">
        <v>366</v>
      </c>
      <c r="D31" s="88">
        <v>0</v>
      </c>
      <c r="E31" s="88">
        <v>0</v>
      </c>
      <c r="F31" s="89">
        <v>0</v>
      </c>
      <c r="G31" s="90">
        <v>0</v>
      </c>
      <c r="H31" s="91">
        <v>0</v>
      </c>
      <c r="I31" s="92"/>
      <c r="K31" s="311">
        <f t="shared" si="0"/>
        <v>0</v>
      </c>
    </row>
    <row r="32" spans="1:11" x14ac:dyDescent="0.25">
      <c r="A32" s="99"/>
      <c r="B32" s="98" t="s">
        <v>367</v>
      </c>
      <c r="C32" s="95" t="s">
        <v>289</v>
      </c>
      <c r="D32" s="88">
        <v>0</v>
      </c>
      <c r="E32" s="88">
        <v>0</v>
      </c>
      <c r="F32" s="89">
        <v>0</v>
      </c>
      <c r="G32" s="90">
        <v>0</v>
      </c>
      <c r="H32" s="91">
        <v>50000</v>
      </c>
      <c r="I32" s="92"/>
      <c r="K32" s="311">
        <f t="shared" si="0"/>
        <v>50000</v>
      </c>
    </row>
    <row r="33" spans="1:13" ht="15.75" thickBot="1" x14ac:dyDescent="0.3">
      <c r="A33" s="101" t="s">
        <v>124</v>
      </c>
      <c r="B33" s="102"/>
      <c r="C33" s="103"/>
      <c r="D33" s="104">
        <f>SUM(D6:D32)</f>
        <v>0</v>
      </c>
      <c r="E33" s="104">
        <f>SUM(E6:E32)</f>
        <v>0</v>
      </c>
      <c r="F33" s="105">
        <f>SUM(F6:F32)</f>
        <v>0</v>
      </c>
      <c r="G33" s="104">
        <f>SUM(G6:G32)</f>
        <v>0</v>
      </c>
      <c r="H33" s="106">
        <f>SUM(H6:H32)</f>
        <v>1780542.5</v>
      </c>
      <c r="I33" s="107"/>
      <c r="J33" s="311">
        <f>SUM(J5:J32)</f>
        <v>8068610</v>
      </c>
      <c r="K33" s="640">
        <f>+H33+J33</f>
        <v>9849152.5</v>
      </c>
      <c r="L33" s="225" t="s">
        <v>490</v>
      </c>
      <c r="M33" s="641"/>
    </row>
    <row r="34" spans="1:13" ht="15.75" thickTop="1" x14ac:dyDescent="0.25">
      <c r="A34" s="108" t="s">
        <v>368</v>
      </c>
      <c r="B34" s="109"/>
      <c r="C34" s="110" t="s">
        <v>369</v>
      </c>
      <c r="D34" s="88"/>
      <c r="E34" s="88"/>
      <c r="F34" s="89"/>
      <c r="G34" s="90"/>
      <c r="H34" s="111">
        <v>0</v>
      </c>
      <c r="I34" s="112"/>
    </row>
    <row r="35" spans="1:13" x14ac:dyDescent="0.25">
      <c r="A35" s="96"/>
      <c r="B35" s="94" t="s">
        <v>370</v>
      </c>
      <c r="C35" s="95" t="s">
        <v>371</v>
      </c>
      <c r="D35" s="88">
        <v>0</v>
      </c>
      <c r="E35" s="88">
        <v>0</v>
      </c>
      <c r="F35" s="88">
        <v>0</v>
      </c>
      <c r="G35" s="90">
        <v>0</v>
      </c>
      <c r="H35" s="91">
        <v>0</v>
      </c>
      <c r="I35" s="92"/>
      <c r="J35" s="311">
        <v>5505831</v>
      </c>
      <c r="K35" s="311">
        <f t="shared" ref="K35:K48" si="1">+H35+J35</f>
        <v>5505831</v>
      </c>
    </row>
    <row r="36" spans="1:13" x14ac:dyDescent="0.25">
      <c r="A36" s="116"/>
      <c r="B36" s="117" t="s">
        <v>372</v>
      </c>
      <c r="C36" s="118" t="s">
        <v>373</v>
      </c>
      <c r="D36" s="88">
        <v>0</v>
      </c>
      <c r="E36" s="88">
        <v>0</v>
      </c>
      <c r="F36" s="642">
        <v>13997938</v>
      </c>
      <c r="G36" s="90">
        <v>0</v>
      </c>
      <c r="H36" s="91">
        <v>0</v>
      </c>
      <c r="I36" s="120"/>
      <c r="K36" s="311">
        <f t="shared" si="1"/>
        <v>0</v>
      </c>
    </row>
    <row r="37" spans="1:13" x14ac:dyDescent="0.25">
      <c r="A37" s="96"/>
      <c r="B37" s="94" t="s">
        <v>374</v>
      </c>
      <c r="C37" s="95" t="s">
        <v>293</v>
      </c>
      <c r="D37" s="88">
        <v>0</v>
      </c>
      <c r="E37" s="88">
        <v>0</v>
      </c>
      <c r="F37" s="88">
        <v>0</v>
      </c>
      <c r="G37" s="90">
        <v>0</v>
      </c>
      <c r="H37" s="91">
        <v>0</v>
      </c>
      <c r="I37" s="92"/>
      <c r="J37" s="643">
        <v>1194585</v>
      </c>
      <c r="K37" s="311">
        <f t="shared" si="1"/>
        <v>1194585</v>
      </c>
    </row>
    <row r="38" spans="1:13" x14ac:dyDescent="0.25">
      <c r="A38" s="96"/>
      <c r="B38" s="121" t="s">
        <v>10</v>
      </c>
      <c r="C38" s="122" t="s">
        <v>136</v>
      </c>
      <c r="D38" s="88">
        <v>0</v>
      </c>
      <c r="E38" s="88">
        <v>0</v>
      </c>
      <c r="F38" s="642">
        <v>2392971</v>
      </c>
      <c r="G38" s="90">
        <v>0</v>
      </c>
      <c r="H38" s="91">
        <v>0</v>
      </c>
      <c r="I38" s="120"/>
      <c r="K38" s="311">
        <f t="shared" si="1"/>
        <v>0</v>
      </c>
    </row>
    <row r="39" spans="1:13" x14ac:dyDescent="0.25">
      <c r="A39" s="96"/>
      <c r="B39" s="121" t="s">
        <v>10</v>
      </c>
      <c r="C39" s="122" t="s">
        <v>375</v>
      </c>
      <c r="D39" s="88">
        <v>0</v>
      </c>
      <c r="E39" s="88">
        <v>0</v>
      </c>
      <c r="F39" s="642">
        <v>45047</v>
      </c>
      <c r="G39" s="90">
        <v>0</v>
      </c>
      <c r="H39" s="91">
        <v>0</v>
      </c>
      <c r="I39" s="92"/>
      <c r="J39" s="311">
        <f>129000+23617.73</f>
        <v>152617.73000000001</v>
      </c>
      <c r="K39" s="644">
        <f t="shared" si="1"/>
        <v>152617.73000000001</v>
      </c>
    </row>
    <row r="40" spans="1:13" x14ac:dyDescent="0.25">
      <c r="A40" s="96"/>
      <c r="B40" s="121" t="s">
        <v>10</v>
      </c>
      <c r="C40" s="122" t="s">
        <v>376</v>
      </c>
      <c r="D40" s="88">
        <v>0</v>
      </c>
      <c r="E40" s="88">
        <v>0</v>
      </c>
      <c r="F40" s="642">
        <v>180450</v>
      </c>
      <c r="G40" s="90">
        <v>0</v>
      </c>
      <c r="H40" s="91">
        <v>0</v>
      </c>
      <c r="I40" s="92"/>
      <c r="J40" s="311">
        <v>129000</v>
      </c>
      <c r="K40" s="644">
        <f t="shared" si="1"/>
        <v>129000</v>
      </c>
    </row>
    <row r="41" spans="1:13" x14ac:dyDescent="0.25">
      <c r="A41" s="96"/>
      <c r="B41" s="121" t="s">
        <v>10</v>
      </c>
      <c r="C41" s="122" t="s">
        <v>138</v>
      </c>
      <c r="D41" s="88">
        <v>0</v>
      </c>
      <c r="E41" s="88">
        <v>0</v>
      </c>
      <c r="F41" s="642">
        <v>0</v>
      </c>
      <c r="G41" s="90">
        <v>0</v>
      </c>
      <c r="H41" s="91">
        <v>0</v>
      </c>
      <c r="I41" s="92"/>
      <c r="K41" s="311">
        <f t="shared" si="1"/>
        <v>0</v>
      </c>
    </row>
    <row r="42" spans="1:13" s="130" customFormat="1" x14ac:dyDescent="0.25">
      <c r="A42" s="123" t="s">
        <v>377</v>
      </c>
      <c r="B42" s="124"/>
      <c r="C42" s="125" t="s">
        <v>378</v>
      </c>
      <c r="D42" s="126">
        <v>0</v>
      </c>
      <c r="E42" s="126">
        <v>0</v>
      </c>
      <c r="F42" s="305">
        <v>0</v>
      </c>
      <c r="G42" s="306">
        <v>0</v>
      </c>
      <c r="H42" s="307">
        <v>1911827.67</v>
      </c>
      <c r="I42" s="129"/>
      <c r="J42" s="645">
        <v>865874.22</v>
      </c>
      <c r="K42" s="644">
        <f t="shared" si="1"/>
        <v>2777701.8899999997</v>
      </c>
      <c r="L42" s="646"/>
      <c r="M42" s="130" t="s">
        <v>812</v>
      </c>
    </row>
    <row r="43" spans="1:13" x14ac:dyDescent="0.25">
      <c r="A43" s="96"/>
      <c r="B43" s="94" t="s">
        <v>379</v>
      </c>
      <c r="C43" s="95" t="s">
        <v>31</v>
      </c>
      <c r="D43" s="88">
        <v>0</v>
      </c>
      <c r="E43" s="88">
        <v>0</v>
      </c>
      <c r="F43" s="88">
        <v>0</v>
      </c>
      <c r="G43" s="90">
        <v>0</v>
      </c>
      <c r="H43" s="91">
        <v>0</v>
      </c>
      <c r="I43" s="92"/>
      <c r="K43" s="311">
        <f t="shared" si="1"/>
        <v>0</v>
      </c>
    </row>
    <row r="44" spans="1:13" x14ac:dyDescent="0.25">
      <c r="A44" s="96"/>
      <c r="B44" s="121" t="s">
        <v>33</v>
      </c>
      <c r="C44" s="122" t="s">
        <v>222</v>
      </c>
      <c r="D44" s="88">
        <v>0</v>
      </c>
      <c r="E44" s="88">
        <v>0</v>
      </c>
      <c r="F44" s="642">
        <v>1504484</v>
      </c>
      <c r="G44" s="90">
        <v>0</v>
      </c>
      <c r="H44" s="91">
        <v>791</v>
      </c>
      <c r="I44" s="92"/>
      <c r="J44" s="311">
        <v>0</v>
      </c>
      <c r="K44" s="311">
        <f t="shared" si="1"/>
        <v>791</v>
      </c>
      <c r="M44" s="60" t="s">
        <v>813</v>
      </c>
    </row>
    <row r="45" spans="1:13" x14ac:dyDescent="0.25">
      <c r="A45" s="96"/>
      <c r="B45" s="94" t="s">
        <v>380</v>
      </c>
      <c r="C45" s="95" t="s">
        <v>381</v>
      </c>
      <c r="D45" s="88">
        <v>0</v>
      </c>
      <c r="E45" s="88">
        <v>0</v>
      </c>
      <c r="F45" s="89">
        <v>0</v>
      </c>
      <c r="G45" s="90">
        <v>0</v>
      </c>
      <c r="H45" s="91">
        <v>842681</v>
      </c>
      <c r="I45" s="92"/>
      <c r="K45" s="644">
        <f t="shared" si="1"/>
        <v>842681</v>
      </c>
    </row>
    <row r="46" spans="1:13" x14ac:dyDescent="0.25">
      <c r="A46" s="96"/>
      <c r="B46" s="94" t="s">
        <v>382</v>
      </c>
      <c r="C46" s="95" t="s">
        <v>191</v>
      </c>
      <c r="D46" s="88">
        <v>0</v>
      </c>
      <c r="E46" s="88">
        <v>0</v>
      </c>
      <c r="F46" s="88">
        <v>0</v>
      </c>
      <c r="G46" s="90">
        <v>0</v>
      </c>
      <c r="H46" s="91">
        <v>0</v>
      </c>
      <c r="I46" s="92"/>
      <c r="J46" s="647">
        <v>384311</v>
      </c>
      <c r="K46" s="644">
        <f t="shared" si="1"/>
        <v>384311</v>
      </c>
    </row>
    <row r="47" spans="1:13" hidden="1" x14ac:dyDescent="0.25">
      <c r="A47" s="96" t="s">
        <v>383</v>
      </c>
      <c r="B47" s="132"/>
      <c r="C47" s="95" t="s">
        <v>384</v>
      </c>
      <c r="D47" s="88">
        <v>0</v>
      </c>
      <c r="E47" s="88">
        <v>0</v>
      </c>
      <c r="F47" s="89">
        <v>0</v>
      </c>
      <c r="G47" s="90">
        <v>0</v>
      </c>
      <c r="H47" s="91">
        <v>0</v>
      </c>
      <c r="I47" s="133"/>
      <c r="K47" s="311">
        <f t="shared" si="1"/>
        <v>0</v>
      </c>
    </row>
    <row r="48" spans="1:13" hidden="1" x14ac:dyDescent="0.25">
      <c r="A48" s="96" t="s">
        <v>385</v>
      </c>
      <c r="B48" s="134"/>
      <c r="C48" s="95" t="s">
        <v>386</v>
      </c>
      <c r="D48" s="88">
        <v>0</v>
      </c>
      <c r="E48" s="88">
        <v>0</v>
      </c>
      <c r="F48" s="89">
        <v>0</v>
      </c>
      <c r="G48" s="90">
        <v>0</v>
      </c>
      <c r="H48" s="91">
        <v>0</v>
      </c>
      <c r="I48" s="92"/>
      <c r="K48" s="311">
        <f t="shared" si="1"/>
        <v>0</v>
      </c>
    </row>
    <row r="49" spans="1:13" ht="15.75" thickBot="1" x14ac:dyDescent="0.3">
      <c r="A49" s="101" t="s">
        <v>125</v>
      </c>
      <c r="B49" s="102"/>
      <c r="C49" s="103"/>
      <c r="D49" s="104">
        <f>SUM(D34:D48)</f>
        <v>0</v>
      </c>
      <c r="E49" s="104">
        <f>SUM(E34:E48)</f>
        <v>0</v>
      </c>
      <c r="F49" s="105">
        <f>SUM(F34:F48)</f>
        <v>18120890</v>
      </c>
      <c r="G49" s="104">
        <f>SUM(G34:G48)</f>
        <v>0</v>
      </c>
      <c r="H49" s="106">
        <f>SUM(H34:H48)</f>
        <v>2755299.67</v>
      </c>
      <c r="I49" s="107"/>
      <c r="J49" s="311">
        <f>SUM(J34:J48)</f>
        <v>8232218.9500000002</v>
      </c>
      <c r="K49" s="640">
        <f>SUM(K34:K48)</f>
        <v>10987518.620000001</v>
      </c>
      <c r="L49" s="225" t="s">
        <v>490</v>
      </c>
      <c r="M49" s="641">
        <f>+K49-K35-K37</f>
        <v>4287102.620000001</v>
      </c>
    </row>
    <row r="50" spans="1:13" ht="15.75" thickTop="1" x14ac:dyDescent="0.25">
      <c r="A50" s="648"/>
      <c r="B50" s="189"/>
      <c r="C50" s="244"/>
      <c r="D50" s="649"/>
      <c r="E50" s="649"/>
      <c r="F50" s="209"/>
      <c r="G50" s="649"/>
      <c r="H50" s="650"/>
      <c r="I50" s="651"/>
    </row>
    <row r="51" spans="1:13" x14ac:dyDescent="0.25">
      <c r="A51" s="135" t="s">
        <v>387</v>
      </c>
      <c r="B51" s="136"/>
      <c r="C51" s="87" t="s">
        <v>388</v>
      </c>
      <c r="D51" s="137"/>
      <c r="E51" s="138"/>
      <c r="F51" s="139"/>
      <c r="G51" s="138"/>
      <c r="H51" s="140"/>
      <c r="I51" s="112"/>
      <c r="K51" s="311">
        <f t="shared" ref="K51:K71" si="2">+H51+J51</f>
        <v>0</v>
      </c>
    </row>
    <row r="52" spans="1:13" hidden="1" x14ac:dyDescent="0.25">
      <c r="A52" s="141" t="s">
        <v>389</v>
      </c>
      <c r="B52" s="142"/>
      <c r="C52" s="95" t="s">
        <v>390</v>
      </c>
      <c r="D52" s="143">
        <v>0</v>
      </c>
      <c r="E52" s="88">
        <v>0</v>
      </c>
      <c r="F52" s="144">
        <v>0</v>
      </c>
      <c r="G52" s="143">
        <v>0</v>
      </c>
      <c r="H52" s="111">
        <v>0</v>
      </c>
      <c r="I52" s="92"/>
      <c r="K52" s="311">
        <f t="shared" si="2"/>
        <v>0</v>
      </c>
    </row>
    <row r="53" spans="1:13" x14ac:dyDescent="0.25">
      <c r="A53" s="141" t="s">
        <v>391</v>
      </c>
      <c r="B53" s="142"/>
      <c r="C53" s="95" t="s">
        <v>392</v>
      </c>
      <c r="D53" s="143">
        <v>0</v>
      </c>
      <c r="E53" s="88">
        <v>0</v>
      </c>
      <c r="F53" s="144">
        <v>0</v>
      </c>
      <c r="G53" s="143">
        <v>0</v>
      </c>
      <c r="H53" s="111">
        <v>50000</v>
      </c>
      <c r="I53" s="92"/>
      <c r="K53" s="311">
        <f t="shared" si="2"/>
        <v>50000</v>
      </c>
    </row>
    <row r="54" spans="1:13" x14ac:dyDescent="0.25">
      <c r="A54" s="145" t="s">
        <v>395</v>
      </c>
      <c r="B54" s="142"/>
      <c r="C54" s="95" t="s">
        <v>299</v>
      </c>
      <c r="D54" s="143">
        <v>0</v>
      </c>
      <c r="E54" s="88">
        <v>0</v>
      </c>
      <c r="F54" s="144">
        <v>0</v>
      </c>
      <c r="G54" s="143">
        <v>0</v>
      </c>
      <c r="H54" s="111">
        <v>18578</v>
      </c>
      <c r="I54" s="92" t="s">
        <v>814</v>
      </c>
      <c r="K54" s="311">
        <f t="shared" si="2"/>
        <v>18578</v>
      </c>
    </row>
    <row r="55" spans="1:13" x14ac:dyDescent="0.25">
      <c r="A55" s="141" t="s">
        <v>396</v>
      </c>
      <c r="B55" s="142"/>
      <c r="C55" s="95" t="s">
        <v>298</v>
      </c>
      <c r="D55" s="143">
        <v>0</v>
      </c>
      <c r="E55" s="88">
        <v>0</v>
      </c>
      <c r="F55" s="144">
        <v>0</v>
      </c>
      <c r="G55" s="143">
        <v>0</v>
      </c>
      <c r="H55" s="111">
        <v>2493409.09</v>
      </c>
      <c r="I55" s="92"/>
      <c r="K55" s="311">
        <f t="shared" si="2"/>
        <v>2493409.09</v>
      </c>
      <c r="M55" s="60">
        <v>214159</v>
      </c>
    </row>
    <row r="56" spans="1:13" hidden="1" x14ac:dyDescent="0.25">
      <c r="A56" s="145" t="s">
        <v>397</v>
      </c>
      <c r="B56" s="142"/>
      <c r="C56" s="95" t="s">
        <v>398</v>
      </c>
      <c r="D56" s="143">
        <v>0</v>
      </c>
      <c r="E56" s="88">
        <v>0</v>
      </c>
      <c r="F56" s="144">
        <v>0</v>
      </c>
      <c r="G56" s="143">
        <v>0</v>
      </c>
      <c r="H56" s="111">
        <v>0</v>
      </c>
      <c r="I56" s="92"/>
      <c r="K56" s="311">
        <f t="shared" si="2"/>
        <v>0</v>
      </c>
    </row>
    <row r="57" spans="1:13" hidden="1" x14ac:dyDescent="0.25">
      <c r="A57" s="141" t="s">
        <v>399</v>
      </c>
      <c r="B57" s="142"/>
      <c r="C57" s="95" t="s">
        <v>400</v>
      </c>
      <c r="D57" s="143">
        <v>0</v>
      </c>
      <c r="E57" s="88">
        <v>0</v>
      </c>
      <c r="F57" s="144">
        <v>0</v>
      </c>
      <c r="G57" s="143">
        <v>0</v>
      </c>
      <c r="H57" s="111">
        <v>0</v>
      </c>
      <c r="I57" s="92"/>
      <c r="K57" s="311">
        <f t="shared" si="2"/>
        <v>0</v>
      </c>
    </row>
    <row r="58" spans="1:13" ht="15.75" thickBot="1" x14ac:dyDescent="0.3">
      <c r="A58" s="146" t="s">
        <v>126</v>
      </c>
      <c r="B58" s="147"/>
      <c r="C58" s="103"/>
      <c r="D58" s="104">
        <f>SUM(D51:D57)</f>
        <v>0</v>
      </c>
      <c r="E58" s="104">
        <f t="shared" ref="E58:H58" si="3">SUM(E51:E57)</f>
        <v>0</v>
      </c>
      <c r="F58" s="105">
        <f t="shared" si="3"/>
        <v>0</v>
      </c>
      <c r="G58" s="104">
        <f t="shared" si="3"/>
        <v>0</v>
      </c>
      <c r="H58" s="106">
        <f t="shared" si="3"/>
        <v>2561987.09</v>
      </c>
      <c r="I58" s="107"/>
      <c r="K58" s="640">
        <f>SUM(K51:K57)</f>
        <v>2561987.09</v>
      </c>
      <c r="L58" s="225" t="s">
        <v>490</v>
      </c>
    </row>
    <row r="59" spans="1:13" ht="15.75" thickTop="1" x14ac:dyDescent="0.25">
      <c r="A59" s="135" t="s">
        <v>401</v>
      </c>
      <c r="B59" s="136"/>
      <c r="C59" s="87" t="s">
        <v>402</v>
      </c>
      <c r="D59" s="148"/>
      <c r="E59" s="149"/>
      <c r="F59" s="150"/>
      <c r="G59" s="149"/>
      <c r="H59" s="111">
        <v>0</v>
      </c>
      <c r="I59" s="112"/>
      <c r="K59" s="311">
        <f t="shared" si="2"/>
        <v>0</v>
      </c>
    </row>
    <row r="60" spans="1:13" hidden="1" x14ac:dyDescent="0.25">
      <c r="A60" s="141" t="s">
        <v>403</v>
      </c>
      <c r="B60" s="151"/>
      <c r="C60" s="95" t="s">
        <v>404</v>
      </c>
      <c r="D60" s="143">
        <v>0</v>
      </c>
      <c r="E60" s="152">
        <v>0</v>
      </c>
      <c r="F60" s="144">
        <v>0</v>
      </c>
      <c r="G60" s="143">
        <v>0</v>
      </c>
      <c r="H60" s="111">
        <v>0</v>
      </c>
      <c r="I60" s="92"/>
      <c r="J60" s="311">
        <f>SUM(J53:J59)</f>
        <v>0</v>
      </c>
      <c r="K60" s="311">
        <f>+H60+J60</f>
        <v>0</v>
      </c>
    </row>
    <row r="61" spans="1:13" hidden="1" x14ac:dyDescent="0.25">
      <c r="A61" s="145"/>
      <c r="B61" s="151" t="s">
        <v>405</v>
      </c>
      <c r="C61" s="95" t="s">
        <v>406</v>
      </c>
      <c r="D61" s="143">
        <v>0</v>
      </c>
      <c r="E61" s="88">
        <v>0</v>
      </c>
      <c r="F61" s="144">
        <v>0</v>
      </c>
      <c r="G61" s="143">
        <v>0</v>
      </c>
      <c r="H61" s="111">
        <v>0</v>
      </c>
      <c r="I61" s="92"/>
      <c r="K61" s="311">
        <f>+H61+J61</f>
        <v>0</v>
      </c>
    </row>
    <row r="62" spans="1:13" hidden="1" x14ac:dyDescent="0.25">
      <c r="A62" s="145"/>
      <c r="B62" s="151" t="s">
        <v>407</v>
      </c>
      <c r="C62" s="95" t="s">
        <v>408</v>
      </c>
      <c r="D62" s="143">
        <v>0</v>
      </c>
      <c r="E62" s="88">
        <v>0</v>
      </c>
      <c r="F62" s="144">
        <v>0</v>
      </c>
      <c r="G62" s="143">
        <v>0</v>
      </c>
      <c r="H62" s="111">
        <v>0</v>
      </c>
      <c r="I62" s="92"/>
      <c r="K62" s="311">
        <f>+H62+J62</f>
        <v>0</v>
      </c>
    </row>
    <row r="63" spans="1:13" x14ac:dyDescent="0.25">
      <c r="A63" s="145" t="s">
        <v>409</v>
      </c>
      <c r="B63" s="153"/>
      <c r="C63" s="95" t="s">
        <v>301</v>
      </c>
      <c r="D63" s="143">
        <v>0</v>
      </c>
      <c r="E63" s="88">
        <v>0</v>
      </c>
      <c r="F63" s="144">
        <v>0</v>
      </c>
      <c r="G63" s="143">
        <v>0</v>
      </c>
      <c r="H63" s="111">
        <v>1227000</v>
      </c>
      <c r="I63" s="92" t="s">
        <v>815</v>
      </c>
      <c r="K63" s="644">
        <f t="shared" si="2"/>
        <v>1227000</v>
      </c>
      <c r="M63" s="641">
        <f>+K68+M49</f>
        <v>5696166.620000001</v>
      </c>
    </row>
    <row r="64" spans="1:13" hidden="1" x14ac:dyDescent="0.25">
      <c r="A64" s="145" t="s">
        <v>410</v>
      </c>
      <c r="B64" s="153"/>
      <c r="C64" s="95" t="s">
        <v>411</v>
      </c>
      <c r="D64" s="143">
        <v>0</v>
      </c>
      <c r="E64" s="88">
        <v>0</v>
      </c>
      <c r="F64" s="144">
        <v>0</v>
      </c>
      <c r="G64" s="143">
        <v>0</v>
      </c>
      <c r="H64" s="111">
        <v>0</v>
      </c>
      <c r="I64" s="92"/>
      <c r="K64" s="311">
        <f t="shared" si="2"/>
        <v>0</v>
      </c>
    </row>
    <row r="65" spans="1:13" hidden="1" x14ac:dyDescent="0.25">
      <c r="A65" s="141" t="s">
        <v>412</v>
      </c>
      <c r="B65" s="153"/>
      <c r="C65" s="95" t="s">
        <v>413</v>
      </c>
      <c r="D65" s="143">
        <v>0</v>
      </c>
      <c r="E65" s="88">
        <v>0</v>
      </c>
      <c r="F65" s="144">
        <v>0</v>
      </c>
      <c r="G65" s="143">
        <v>0</v>
      </c>
      <c r="H65" s="111">
        <v>0</v>
      </c>
      <c r="I65" s="92"/>
      <c r="J65" s="311">
        <v>182064</v>
      </c>
      <c r="K65" s="311">
        <f t="shared" si="2"/>
        <v>182064</v>
      </c>
    </row>
    <row r="66" spans="1:13" hidden="1" x14ac:dyDescent="0.25">
      <c r="A66" s="145" t="s">
        <v>414</v>
      </c>
      <c r="B66" s="153"/>
      <c r="C66" s="95" t="s">
        <v>415</v>
      </c>
      <c r="D66" s="143">
        <v>0</v>
      </c>
      <c r="E66" s="88">
        <v>0</v>
      </c>
      <c r="F66" s="144">
        <v>0</v>
      </c>
      <c r="G66" s="143">
        <v>0</v>
      </c>
      <c r="H66" s="111">
        <v>0</v>
      </c>
      <c r="I66" s="92"/>
      <c r="K66" s="311">
        <f t="shared" si="2"/>
        <v>0</v>
      </c>
    </row>
    <row r="67" spans="1:13" hidden="1" x14ac:dyDescent="0.25">
      <c r="A67" s="141" t="s">
        <v>416</v>
      </c>
      <c r="B67" s="153"/>
      <c r="C67" s="95" t="s">
        <v>417</v>
      </c>
      <c r="D67" s="143">
        <v>0</v>
      </c>
      <c r="E67" s="88">
        <v>0</v>
      </c>
      <c r="F67" s="144">
        <v>0</v>
      </c>
      <c r="G67" s="143">
        <v>0</v>
      </c>
      <c r="H67" s="111">
        <v>0</v>
      </c>
      <c r="I67" s="92"/>
      <c r="K67" s="311">
        <f t="shared" si="2"/>
        <v>0</v>
      </c>
    </row>
    <row r="68" spans="1:13" ht="15.75" thickBot="1" x14ac:dyDescent="0.3">
      <c r="A68" s="154" t="s">
        <v>127</v>
      </c>
      <c r="B68" s="155"/>
      <c r="C68" s="156"/>
      <c r="D68" s="157">
        <f>SUM(D59:D67)</f>
        <v>0</v>
      </c>
      <c r="E68" s="157">
        <f>SUM(E59:E67)</f>
        <v>0</v>
      </c>
      <c r="F68" s="158">
        <f>SUM(F59:F67)</f>
        <v>0</v>
      </c>
      <c r="G68" s="157">
        <f>SUM(G59:G67)</f>
        <v>0</v>
      </c>
      <c r="H68" s="159">
        <f>SUM(H59:H67)</f>
        <v>1227000</v>
      </c>
      <c r="I68" s="92"/>
      <c r="K68" s="640">
        <f>SUM(K60:K67)</f>
        <v>1409064</v>
      </c>
      <c r="L68" s="225" t="s">
        <v>490</v>
      </c>
    </row>
    <row r="69" spans="1:13" x14ac:dyDescent="0.25">
      <c r="A69" s="160" t="s">
        <v>418</v>
      </c>
      <c r="B69" s="161"/>
      <c r="C69" s="162" t="s">
        <v>419</v>
      </c>
      <c r="D69" s="143"/>
      <c r="E69" s="143"/>
      <c r="F69" s="144"/>
      <c r="G69" s="143"/>
      <c r="H69" s="111">
        <v>9091.24</v>
      </c>
      <c r="I69" s="92"/>
      <c r="K69" s="652">
        <f>+H69+J69</f>
        <v>9091.24</v>
      </c>
    </row>
    <row r="70" spans="1:13" x14ac:dyDescent="0.25">
      <c r="A70" s="141"/>
      <c r="B70" s="142" t="s">
        <v>420</v>
      </c>
      <c r="C70" s="95"/>
      <c r="D70" s="143">
        <v>0</v>
      </c>
      <c r="E70" s="143">
        <v>0</v>
      </c>
      <c r="F70" s="144">
        <v>0</v>
      </c>
      <c r="G70" s="143">
        <v>0</v>
      </c>
      <c r="H70" s="111">
        <v>3135115.82</v>
      </c>
      <c r="I70" s="92"/>
      <c r="J70" s="311">
        <f>SUM(J62:J69)</f>
        <v>182064</v>
      </c>
      <c r="K70" s="311">
        <f t="shared" si="2"/>
        <v>3317179.82</v>
      </c>
    </row>
    <row r="71" spans="1:13" x14ac:dyDescent="0.25">
      <c r="A71" s="145"/>
      <c r="B71" s="142" t="s">
        <v>304</v>
      </c>
      <c r="C71" s="95"/>
      <c r="D71" s="143">
        <v>0</v>
      </c>
      <c r="E71" s="143">
        <v>0</v>
      </c>
      <c r="F71" s="144">
        <v>0</v>
      </c>
      <c r="G71" s="143">
        <v>0</v>
      </c>
      <c r="H71" s="111">
        <v>3274841</v>
      </c>
      <c r="I71" s="92"/>
      <c r="J71" s="311">
        <v>0</v>
      </c>
      <c r="K71" s="311">
        <f t="shared" si="2"/>
        <v>3274841</v>
      </c>
    </row>
    <row r="72" spans="1:13" ht="15.75" thickBot="1" x14ac:dyDescent="0.3">
      <c r="A72" s="164" t="s">
        <v>129</v>
      </c>
      <c r="B72" s="165"/>
      <c r="C72" s="166"/>
      <c r="D72" s="167">
        <f>SUM(D70:D71)</f>
        <v>0</v>
      </c>
      <c r="E72" s="167">
        <f>SUM(E70:E71)</f>
        <v>0</v>
      </c>
      <c r="F72" s="158">
        <f t="shared" ref="F72:G72" si="4">SUM(F70:F71)</f>
        <v>0</v>
      </c>
      <c r="G72" s="157">
        <f t="shared" si="4"/>
        <v>0</v>
      </c>
      <c r="H72" s="159">
        <f>SUM(H69:H71)</f>
        <v>6419048.0600000005</v>
      </c>
      <c r="I72" s="92"/>
      <c r="J72" s="311">
        <v>0</v>
      </c>
      <c r="K72" s="640">
        <f>SUM(K69:K71)</f>
        <v>6601112.0600000005</v>
      </c>
      <c r="L72" s="225" t="s">
        <v>490</v>
      </c>
    </row>
    <row r="73" spans="1:13" hidden="1" x14ac:dyDescent="0.25">
      <c r="A73" s="145"/>
      <c r="B73" s="142" t="s">
        <v>421</v>
      </c>
      <c r="C73" s="95"/>
      <c r="D73" s="143"/>
      <c r="E73" s="143"/>
      <c r="F73" s="168"/>
      <c r="G73" s="143"/>
      <c r="H73" s="111">
        <v>0</v>
      </c>
      <c r="I73" s="92"/>
      <c r="L73" s="225" t="s">
        <v>490</v>
      </c>
    </row>
    <row r="74" spans="1:13" hidden="1" x14ac:dyDescent="0.25">
      <c r="A74" s="141"/>
      <c r="B74" s="142" t="s">
        <v>422</v>
      </c>
      <c r="C74" s="95"/>
      <c r="D74" s="143"/>
      <c r="E74" s="143"/>
      <c r="F74" s="144"/>
      <c r="G74" s="143"/>
      <c r="H74" s="111">
        <v>0</v>
      </c>
      <c r="I74" s="92"/>
      <c r="J74" s="311">
        <f>SUM(J71:J73)</f>
        <v>0</v>
      </c>
      <c r="L74" s="225" t="s">
        <v>490</v>
      </c>
    </row>
    <row r="75" spans="1:13" ht="15.75" thickBot="1" x14ac:dyDescent="0.3">
      <c r="A75" s="653" t="s">
        <v>423</v>
      </c>
      <c r="B75" s="170"/>
      <c r="C75" s="171"/>
      <c r="D75" s="172">
        <f>'PCFP - All Revenue AA-1 R-17'!D33+'PCFP - All Revenue AA-1 R-17'!D49+'PCFP - All Revenue AA-1 R-17'!D58+'PCFP - All Revenue AA-1 R-17'!D72+'PCFP - All Revenue AA-1 R-17'!D68</f>
        <v>0</v>
      </c>
      <c r="E75" s="172">
        <f>'PCFP - All Revenue AA-1 R-17'!E33+'PCFP - All Revenue AA-1 R-17'!E49+'PCFP - All Revenue AA-1 R-17'!E58+'PCFP - All Revenue AA-1 R-17'!E72+'PCFP - All Revenue AA-1 R-17'!E68</f>
        <v>0</v>
      </c>
      <c r="F75" s="173">
        <f>'PCFP - All Revenue AA-1 R-17'!F33+'PCFP - All Revenue AA-1 R-17'!F49+'PCFP - All Revenue AA-1 R-17'!F58+'PCFP - All Revenue AA-1 R-17'!F72+'PCFP - All Revenue AA-1 R-17'!F68</f>
        <v>18120890</v>
      </c>
      <c r="G75" s="172">
        <f>'PCFP - All Revenue AA-1 R-17'!G33+'PCFP - All Revenue AA-1 R-17'!G49+'PCFP - All Revenue AA-1 R-17'!G58+'PCFP - All Revenue AA-1 R-17'!G72+'PCFP - All Revenue AA-1 R-17'!G68</f>
        <v>0</v>
      </c>
      <c r="H75" s="174">
        <f>'PCFP - All Revenue AA-1 R-17'!H33+'PCFP - All Revenue AA-1 R-17'!H49+'PCFP - All Revenue AA-1 R-17'!H58+'PCFP - All Revenue AA-1 R-17'!H72+'PCFP - All Revenue AA-1 R-17'!H68</f>
        <v>14743877.32</v>
      </c>
      <c r="I75" s="92"/>
      <c r="K75" s="640">
        <f>SUMIF($L$6:$L$74,+$L75,K$6:K$74)</f>
        <v>31408834.270000003</v>
      </c>
      <c r="L75" s="225" t="s">
        <v>490</v>
      </c>
      <c r="M75" s="60">
        <v>31226769.530000001</v>
      </c>
    </row>
    <row r="76" spans="1:13" ht="15.75" thickTop="1" x14ac:dyDescent="0.25">
      <c r="A76" s="654"/>
      <c r="B76" s="655"/>
      <c r="C76" s="656"/>
      <c r="D76" s="149"/>
      <c r="E76" s="149"/>
      <c r="F76" s="150"/>
      <c r="G76" s="149"/>
      <c r="H76" s="657"/>
      <c r="I76" s="92"/>
    </row>
    <row r="77" spans="1:13" x14ac:dyDescent="0.25">
      <c r="A77" s="169" t="s">
        <v>574</v>
      </c>
      <c r="B77" s="142"/>
      <c r="C77" s="95"/>
      <c r="D77" s="143"/>
      <c r="E77" s="143"/>
      <c r="F77" s="144"/>
      <c r="G77" s="143"/>
      <c r="H77" s="111">
        <v>489305.27</v>
      </c>
      <c r="I77" s="92"/>
      <c r="J77" s="311">
        <f>SUMIF($L$6:$L$76,+$L77,J$6:J$76)</f>
        <v>0</v>
      </c>
      <c r="K77" s="311">
        <f t="shared" ref="K77:K81" si="5">+H77+J77</f>
        <v>489305.27</v>
      </c>
    </row>
    <row r="78" spans="1:13" x14ac:dyDescent="0.25">
      <c r="A78" s="135"/>
      <c r="B78" s="658" t="s">
        <v>33</v>
      </c>
      <c r="C78" s="100" t="s">
        <v>816</v>
      </c>
      <c r="D78" s="90"/>
      <c r="E78" s="90"/>
      <c r="F78" s="89">
        <v>182064</v>
      </c>
      <c r="G78" s="90"/>
      <c r="H78" s="91"/>
      <c r="I78" s="92"/>
      <c r="K78" s="311">
        <f t="shared" si="5"/>
        <v>0</v>
      </c>
    </row>
    <row r="79" spans="1:13" x14ac:dyDescent="0.25">
      <c r="A79" s="175"/>
      <c r="B79" s="176" t="s">
        <v>10</v>
      </c>
      <c r="C79" s="177" t="s">
        <v>424</v>
      </c>
      <c r="D79" s="143"/>
      <c r="E79" s="152"/>
      <c r="F79" s="144">
        <v>737695</v>
      </c>
      <c r="G79" s="143"/>
      <c r="H79" s="111">
        <v>0</v>
      </c>
      <c r="I79" s="92"/>
      <c r="K79" s="311">
        <f t="shared" si="5"/>
        <v>0</v>
      </c>
    </row>
    <row r="80" spans="1:13" x14ac:dyDescent="0.25">
      <c r="A80" s="175"/>
      <c r="B80" s="179" t="s">
        <v>10</v>
      </c>
      <c r="C80" s="177" t="s">
        <v>425</v>
      </c>
      <c r="D80" s="143"/>
      <c r="E80" s="88"/>
      <c r="F80" s="144"/>
      <c r="G80" s="143"/>
      <c r="H80" s="111">
        <v>0</v>
      </c>
      <c r="I80" s="92"/>
      <c r="J80" s="311">
        <v>182064</v>
      </c>
      <c r="K80" s="311">
        <f t="shared" si="5"/>
        <v>182064</v>
      </c>
    </row>
    <row r="81" spans="1:12" x14ac:dyDescent="0.25">
      <c r="A81" s="175"/>
      <c r="B81" s="179" t="s">
        <v>10</v>
      </c>
      <c r="C81" s="177" t="s">
        <v>426</v>
      </c>
      <c r="D81" s="143"/>
      <c r="E81" s="88"/>
      <c r="F81" s="144"/>
      <c r="G81" s="143"/>
      <c r="H81" s="111">
        <v>0</v>
      </c>
      <c r="I81" s="92"/>
      <c r="J81" s="311">
        <v>737695</v>
      </c>
      <c r="K81" s="311">
        <f t="shared" si="5"/>
        <v>737695</v>
      </c>
    </row>
    <row r="82" spans="1:12" ht="15.75" thickBot="1" x14ac:dyDescent="0.3">
      <c r="A82" s="180"/>
      <c r="B82" s="181" t="s">
        <v>10</v>
      </c>
      <c r="C82" s="182" t="s">
        <v>427</v>
      </c>
      <c r="D82" s="157"/>
      <c r="E82" s="167"/>
      <c r="F82" s="158"/>
      <c r="G82" s="157"/>
      <c r="H82" s="183">
        <v>0</v>
      </c>
      <c r="I82" s="92"/>
      <c r="K82" s="311">
        <f>SUM(K77:K81)</f>
        <v>1409064.27</v>
      </c>
      <c r="L82" s="225" t="s">
        <v>490</v>
      </c>
    </row>
    <row r="83" spans="1:12" x14ac:dyDescent="0.25">
      <c r="A83" s="184"/>
      <c r="B83" s="185"/>
      <c r="C83" s="186"/>
      <c r="D83" s="187">
        <f>SUM(D79:D82)</f>
        <v>0</v>
      </c>
      <c r="E83" s="187">
        <f t="shared" ref="E83:G83" si="6">SUM(E79:E82)</f>
        <v>0</v>
      </c>
      <c r="F83" s="187">
        <f t="shared" si="6"/>
        <v>737695</v>
      </c>
      <c r="G83" s="187">
        <f t="shared" si="6"/>
        <v>0</v>
      </c>
      <c r="H83" s="187">
        <f>SUM(H77:H82)</f>
        <v>489305.27</v>
      </c>
    </row>
    <row r="84" spans="1:12" x14ac:dyDescent="0.25">
      <c r="A84" s="189"/>
      <c r="B84" s="189"/>
      <c r="C84" s="190"/>
      <c r="D84" s="190"/>
      <c r="E84" s="190"/>
      <c r="F84" s="190"/>
      <c r="G84" s="190"/>
      <c r="H84" s="190"/>
      <c r="J84" s="311">
        <f>SUM(J79:J83)</f>
        <v>919759</v>
      </c>
      <c r="K84" s="311">
        <f>+K75-K82</f>
        <v>29999770.000000004</v>
      </c>
      <c r="L84" s="225" t="s">
        <v>490</v>
      </c>
    </row>
    <row r="85" spans="1:12" x14ac:dyDescent="0.25">
      <c r="A85" s="94"/>
      <c r="B85" s="94"/>
      <c r="C85" s="191" t="str">
        <f>C1</f>
        <v>White Pine County School District</v>
      </c>
      <c r="D85" s="190" t="s">
        <v>428</v>
      </c>
      <c r="E85" s="190"/>
      <c r="F85" s="190"/>
      <c r="G85" s="192" t="str">
        <f>"Budget Fiscal Year "&amp;TEXT('[17]Form 1'!$C$136, "mm/dd/yy")</f>
        <v>Budget Fiscal Year 2019-2020</v>
      </c>
      <c r="H85" s="190"/>
    </row>
    <row r="86" spans="1:12" x14ac:dyDescent="0.25">
      <c r="A86" s="98"/>
      <c r="B86" s="98"/>
      <c r="C86" s="193" t="s">
        <v>429</v>
      </c>
      <c r="D86" s="189" t="s">
        <v>430</v>
      </c>
      <c r="E86" s="190"/>
      <c r="F86" s="194"/>
      <c r="G86" s="192" t="s">
        <v>431</v>
      </c>
      <c r="H86" s="190"/>
      <c r="J86" s="311">
        <f>+J84+J77</f>
        <v>919759</v>
      </c>
    </row>
    <row r="87" spans="1:12" x14ac:dyDescent="0.25">
      <c r="A87" s="189"/>
      <c r="B87" s="189"/>
      <c r="C87" s="190"/>
      <c r="D87" s="190"/>
      <c r="E87" s="190"/>
      <c r="F87" s="195"/>
      <c r="G87" s="196"/>
      <c r="H87" s="197"/>
    </row>
    <row r="88" spans="1:12" x14ac:dyDescent="0.25">
      <c r="A88" s="189"/>
      <c r="B88" s="189"/>
      <c r="C88" s="190"/>
      <c r="D88" s="190"/>
      <c r="E88" s="190"/>
      <c r="H88" s="192"/>
      <c r="K88" s="311">
        <v>31226769.530000001</v>
      </c>
    </row>
    <row r="89" spans="1:12" x14ac:dyDescent="0.25">
      <c r="K89" s="311">
        <f>+K75-K88</f>
        <v>182064.74000000209</v>
      </c>
    </row>
  </sheetData>
  <pageMargins left="0.2" right="0.2" top="0.25" bottom="0.25" header="0.05" footer="0.05"/>
  <pageSetup paperSize="5" scale="51" fitToHeight="2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A767-2DAB-4F03-81FA-45B9B01DDBE1}">
  <sheetPr>
    <tabColor rgb="FFFFFF00"/>
    <pageSetUpPr fitToPage="1"/>
  </sheetPr>
  <dimension ref="A1:L151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20" sqref="K120"/>
    </sheetView>
  </sheetViews>
  <sheetFormatPr defaultColWidth="9.140625" defaultRowHeight="14.25" x14ac:dyDescent="0.2"/>
  <cols>
    <col min="1" max="1" width="7.140625" style="259" customWidth="1"/>
    <col min="2" max="2" width="46.7109375" style="60" customWidth="1"/>
    <col min="3" max="3" width="15.85546875" style="277" customWidth="1"/>
    <col min="4" max="4" width="13.140625" style="277" bestFit="1" customWidth="1"/>
    <col min="5" max="5" width="16.7109375" style="277" bestFit="1" customWidth="1"/>
    <col min="6" max="6" width="14.140625" style="277" bestFit="1" customWidth="1"/>
    <col min="7" max="7" width="17.42578125" style="277" bestFit="1" customWidth="1"/>
    <col min="8" max="8" width="16.140625" style="277" bestFit="1" customWidth="1"/>
    <col min="9" max="9" width="19.5703125" style="277" bestFit="1" customWidth="1"/>
    <col min="10" max="10" width="17.7109375" style="277" customWidth="1"/>
    <col min="11" max="11" width="91.42578125" style="60" bestFit="1" customWidth="1"/>
    <col min="12" max="13" width="9.140625" style="60"/>
    <col min="14" max="14" width="5.42578125" style="60" customWidth="1"/>
    <col min="15" max="16384" width="9.140625" style="60"/>
  </cols>
  <sheetData>
    <row r="1" spans="1:11" s="204" customFormat="1" ht="62.25" customHeight="1" thickBot="1" x14ac:dyDescent="0.3">
      <c r="A1" s="198"/>
      <c r="B1" s="199" t="s">
        <v>432</v>
      </c>
      <c r="C1" s="200" t="s">
        <v>433</v>
      </c>
      <c r="D1" s="200" t="s">
        <v>434</v>
      </c>
      <c r="E1" s="200" t="s">
        <v>435</v>
      </c>
      <c r="F1" s="200" t="s">
        <v>436</v>
      </c>
      <c r="G1" s="200" t="s">
        <v>437</v>
      </c>
      <c r="H1" s="200" t="s">
        <v>438</v>
      </c>
      <c r="I1" s="201" t="s">
        <v>494</v>
      </c>
      <c r="J1" s="202" t="s">
        <v>440</v>
      </c>
      <c r="K1" s="203" t="s">
        <v>575</v>
      </c>
    </row>
    <row r="2" spans="1:11" ht="18.75" customHeight="1" x14ac:dyDescent="0.25">
      <c r="A2" s="205" t="s">
        <v>442</v>
      </c>
      <c r="B2" s="206"/>
      <c r="C2" s="207"/>
      <c r="D2" s="207"/>
      <c r="E2" s="207"/>
      <c r="F2" s="207"/>
      <c r="G2" s="207"/>
      <c r="H2" s="207"/>
      <c r="I2" s="208"/>
      <c r="J2" s="209"/>
      <c r="K2" s="112"/>
    </row>
    <row r="3" spans="1:11" x14ac:dyDescent="0.2">
      <c r="A3" s="116">
        <v>100</v>
      </c>
      <c r="B3" s="95" t="s">
        <v>134</v>
      </c>
      <c r="C3" s="89">
        <v>2811646</v>
      </c>
      <c r="D3" s="89">
        <v>1235624</v>
      </c>
      <c r="E3" s="89">
        <v>404474</v>
      </c>
      <c r="F3" s="89">
        <v>0</v>
      </c>
      <c r="G3" s="89">
        <v>0</v>
      </c>
      <c r="H3" s="89">
        <v>0</v>
      </c>
      <c r="I3" s="214">
        <v>0</v>
      </c>
      <c r="J3" s="89">
        <f>SUM(C3:I3)</f>
        <v>4451744</v>
      </c>
      <c r="K3" s="92"/>
    </row>
    <row r="4" spans="1:11" hidden="1" x14ac:dyDescent="0.2">
      <c r="A4" s="116">
        <v>200</v>
      </c>
      <c r="B4" s="95" t="s">
        <v>135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214">
        <v>0</v>
      </c>
      <c r="J4" s="89">
        <f t="shared" ref="J4:J67" si="0">SUM(C4:I4)</f>
        <v>0</v>
      </c>
      <c r="K4" s="92"/>
    </row>
    <row r="5" spans="1:11" hidden="1" x14ac:dyDescent="0.2">
      <c r="A5" s="210" t="s">
        <v>10</v>
      </c>
      <c r="B5" s="211" t="s">
        <v>136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214">
        <v>0</v>
      </c>
      <c r="J5" s="89">
        <f t="shared" si="0"/>
        <v>0</v>
      </c>
      <c r="K5" s="212"/>
    </row>
    <row r="6" spans="1:11" hidden="1" x14ac:dyDescent="0.2">
      <c r="A6" s="116">
        <v>270</v>
      </c>
      <c r="B6" s="95" t="s">
        <v>137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214">
        <v>0</v>
      </c>
      <c r="J6" s="89">
        <f t="shared" si="0"/>
        <v>0</v>
      </c>
      <c r="K6" s="92"/>
    </row>
    <row r="7" spans="1:11" hidden="1" x14ac:dyDescent="0.2">
      <c r="A7" s="210" t="s">
        <v>10</v>
      </c>
      <c r="B7" s="211" t="s">
        <v>138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214">
        <v>0</v>
      </c>
      <c r="J7" s="89">
        <f t="shared" si="0"/>
        <v>0</v>
      </c>
      <c r="K7" s="212"/>
    </row>
    <row r="8" spans="1:11" x14ac:dyDescent="0.2">
      <c r="A8" s="116">
        <v>300</v>
      </c>
      <c r="B8" s="95" t="s">
        <v>139</v>
      </c>
      <c r="C8" s="89">
        <v>152931</v>
      </c>
      <c r="D8" s="89">
        <v>62960</v>
      </c>
      <c r="E8" s="89">
        <v>19767</v>
      </c>
      <c r="F8" s="89">
        <v>0</v>
      </c>
      <c r="G8" s="89">
        <v>0</v>
      </c>
      <c r="H8" s="89">
        <v>0</v>
      </c>
      <c r="I8" s="214">
        <v>0</v>
      </c>
      <c r="J8" s="89">
        <f t="shared" si="0"/>
        <v>235658</v>
      </c>
      <c r="K8" s="92"/>
    </row>
    <row r="9" spans="1:11" hidden="1" x14ac:dyDescent="0.2">
      <c r="A9" s="116">
        <v>400</v>
      </c>
      <c r="B9" s="95" t="s">
        <v>140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214">
        <v>0</v>
      </c>
      <c r="J9" s="89">
        <f t="shared" si="0"/>
        <v>0</v>
      </c>
      <c r="K9" s="92"/>
    </row>
    <row r="10" spans="1:11" hidden="1" x14ac:dyDescent="0.2">
      <c r="A10" s="210" t="s">
        <v>10</v>
      </c>
      <c r="B10" s="211" t="s">
        <v>141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214">
        <v>0</v>
      </c>
      <c r="J10" s="89">
        <f t="shared" si="0"/>
        <v>0</v>
      </c>
      <c r="K10" s="212"/>
    </row>
    <row r="11" spans="1:11" hidden="1" x14ac:dyDescent="0.2">
      <c r="A11" s="210" t="s">
        <v>10</v>
      </c>
      <c r="B11" s="211" t="s">
        <v>142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214">
        <v>0</v>
      </c>
      <c r="J11" s="89">
        <f t="shared" si="0"/>
        <v>0</v>
      </c>
      <c r="K11" s="212"/>
    </row>
    <row r="12" spans="1:11" hidden="1" x14ac:dyDescent="0.2">
      <c r="A12" s="116">
        <v>440</v>
      </c>
      <c r="B12" s="95" t="s">
        <v>143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214">
        <v>0</v>
      </c>
      <c r="J12" s="89">
        <f t="shared" si="0"/>
        <v>0</v>
      </c>
      <c r="K12" s="92"/>
    </row>
    <row r="13" spans="1:11" hidden="1" x14ac:dyDescent="0.2">
      <c r="A13" s="116">
        <v>500</v>
      </c>
      <c r="B13" s="95" t="s">
        <v>144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214">
        <v>0</v>
      </c>
      <c r="J13" s="89">
        <f t="shared" si="0"/>
        <v>0</v>
      </c>
      <c r="K13" s="92"/>
    </row>
    <row r="14" spans="1:11" hidden="1" x14ac:dyDescent="0.2">
      <c r="A14" s="116">
        <v>600</v>
      </c>
      <c r="B14" s="95" t="s">
        <v>145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214">
        <v>0</v>
      </c>
      <c r="J14" s="89">
        <f t="shared" si="0"/>
        <v>0</v>
      </c>
      <c r="K14" s="92"/>
    </row>
    <row r="15" spans="1:11" hidden="1" x14ac:dyDescent="0.2">
      <c r="A15" s="116">
        <v>800</v>
      </c>
      <c r="B15" s="95" t="s">
        <v>146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214">
        <v>0</v>
      </c>
      <c r="J15" s="89">
        <f t="shared" si="0"/>
        <v>0</v>
      </c>
      <c r="K15" s="92"/>
    </row>
    <row r="16" spans="1:11" x14ac:dyDescent="0.2">
      <c r="A16" s="116">
        <v>910</v>
      </c>
      <c r="B16" s="95" t="s">
        <v>147</v>
      </c>
      <c r="C16" s="89">
        <v>78431</v>
      </c>
      <c r="D16" s="89">
        <v>5388</v>
      </c>
      <c r="E16" s="89">
        <v>21847</v>
      </c>
      <c r="F16" s="89">
        <v>0</v>
      </c>
      <c r="G16" s="89">
        <v>0</v>
      </c>
      <c r="H16" s="89">
        <v>0</v>
      </c>
      <c r="I16" s="214">
        <v>0</v>
      </c>
      <c r="J16" s="89">
        <f t="shared" si="0"/>
        <v>105666</v>
      </c>
      <c r="K16" s="92" t="s">
        <v>817</v>
      </c>
    </row>
    <row r="17" spans="1:11" x14ac:dyDescent="0.2">
      <c r="A17" s="116">
        <v>920</v>
      </c>
      <c r="B17" s="95" t="s">
        <v>148</v>
      </c>
      <c r="C17" s="89">
        <v>147185</v>
      </c>
      <c r="D17" s="89">
        <v>10437</v>
      </c>
      <c r="E17" s="89">
        <v>96206</v>
      </c>
      <c r="F17" s="89">
        <v>0</v>
      </c>
      <c r="G17" s="89">
        <v>0</v>
      </c>
      <c r="H17" s="89">
        <v>0</v>
      </c>
      <c r="I17" s="214">
        <v>0</v>
      </c>
      <c r="J17" s="89">
        <f t="shared" si="0"/>
        <v>253828</v>
      </c>
      <c r="K17" s="92" t="s">
        <v>817</v>
      </c>
    </row>
    <row r="18" spans="1:11" ht="2.25" customHeight="1" x14ac:dyDescent="0.2">
      <c r="A18" s="116"/>
      <c r="B18" s="95"/>
      <c r="C18" s="89"/>
      <c r="D18" s="89"/>
      <c r="E18" s="89"/>
      <c r="F18" s="89"/>
      <c r="G18" s="89"/>
      <c r="H18" s="89"/>
      <c r="I18" s="214"/>
      <c r="J18" s="89">
        <f t="shared" si="0"/>
        <v>0</v>
      </c>
      <c r="K18" s="92"/>
    </row>
    <row r="19" spans="1:11" ht="15" x14ac:dyDescent="0.25">
      <c r="A19" s="215" t="s">
        <v>149</v>
      </c>
      <c r="B19" s="216" t="s">
        <v>150</v>
      </c>
      <c r="C19" s="89"/>
      <c r="D19" s="89"/>
      <c r="E19" s="89"/>
      <c r="F19" s="89"/>
      <c r="G19" s="89"/>
      <c r="H19" s="89"/>
      <c r="I19" s="214"/>
      <c r="J19" s="89"/>
      <c r="K19" s="92"/>
    </row>
    <row r="20" spans="1:11" ht="15" x14ac:dyDescent="0.25">
      <c r="A20" s="215" t="s">
        <v>443</v>
      </c>
      <c r="B20" s="216" t="s">
        <v>444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214">
        <v>0</v>
      </c>
      <c r="J20" s="89">
        <f t="shared" si="0"/>
        <v>0</v>
      </c>
      <c r="K20" s="92"/>
    </row>
    <row r="21" spans="1:11" x14ac:dyDescent="0.2">
      <c r="A21" s="116">
        <v>2100</v>
      </c>
      <c r="B21" s="95" t="s">
        <v>151</v>
      </c>
      <c r="C21" s="89">
        <v>103112</v>
      </c>
      <c r="D21" s="89">
        <v>47010</v>
      </c>
      <c r="E21" s="89">
        <v>10698</v>
      </c>
      <c r="F21" s="89" t="s">
        <v>451</v>
      </c>
      <c r="G21" s="89" t="s">
        <v>452</v>
      </c>
      <c r="H21" s="89" t="s">
        <v>818</v>
      </c>
      <c r="I21" s="214" t="s">
        <v>455</v>
      </c>
      <c r="J21" s="89">
        <f t="shared" si="0"/>
        <v>160820</v>
      </c>
      <c r="K21" s="92"/>
    </row>
    <row r="22" spans="1:11" x14ac:dyDescent="0.2">
      <c r="A22" s="116">
        <v>2200</v>
      </c>
      <c r="B22" s="95" t="s">
        <v>152</v>
      </c>
      <c r="C22" s="89" t="s">
        <v>393</v>
      </c>
      <c r="D22" s="89" t="s">
        <v>498</v>
      </c>
      <c r="E22" s="89">
        <v>7010</v>
      </c>
      <c r="F22" s="89" t="s">
        <v>451</v>
      </c>
      <c r="G22" s="89" t="s">
        <v>452</v>
      </c>
      <c r="H22" s="89" t="s">
        <v>818</v>
      </c>
      <c r="I22" s="214" t="s">
        <v>455</v>
      </c>
      <c r="J22" s="89">
        <f t="shared" si="0"/>
        <v>7010</v>
      </c>
      <c r="K22" s="92"/>
    </row>
    <row r="23" spans="1:11" x14ac:dyDescent="0.2">
      <c r="A23" s="116">
        <v>2300</v>
      </c>
      <c r="B23" s="95" t="s">
        <v>153</v>
      </c>
      <c r="C23" s="89">
        <v>175387</v>
      </c>
      <c r="D23" s="89">
        <v>119220</v>
      </c>
      <c r="E23" s="89">
        <v>175822</v>
      </c>
      <c r="F23" s="89" t="s">
        <v>451</v>
      </c>
      <c r="G23" s="89" t="s">
        <v>452</v>
      </c>
      <c r="H23" s="89" t="s">
        <v>818</v>
      </c>
      <c r="I23" s="214" t="s">
        <v>455</v>
      </c>
      <c r="J23" s="89">
        <f t="shared" si="0"/>
        <v>470429</v>
      </c>
      <c r="K23" s="92"/>
    </row>
    <row r="24" spans="1:11" x14ac:dyDescent="0.2">
      <c r="A24" s="116">
        <v>2400</v>
      </c>
      <c r="B24" s="95" t="s">
        <v>154</v>
      </c>
      <c r="C24" s="89">
        <v>889171</v>
      </c>
      <c r="D24" s="89">
        <v>383593</v>
      </c>
      <c r="E24" s="89">
        <v>75664</v>
      </c>
      <c r="F24" s="89" t="s">
        <v>451</v>
      </c>
      <c r="G24" s="89" t="s">
        <v>452</v>
      </c>
      <c r="H24" s="89" t="s">
        <v>818</v>
      </c>
      <c r="I24" s="214" t="s">
        <v>455</v>
      </c>
      <c r="J24" s="89">
        <f t="shared" si="0"/>
        <v>1348428</v>
      </c>
      <c r="K24" s="92"/>
    </row>
    <row r="25" spans="1:11" x14ac:dyDescent="0.2">
      <c r="A25" s="116">
        <v>2500</v>
      </c>
      <c r="B25" s="95" t="s">
        <v>155</v>
      </c>
      <c r="C25" s="89">
        <v>462387</v>
      </c>
      <c r="D25" s="89">
        <v>183520</v>
      </c>
      <c r="E25" s="89">
        <v>502482</v>
      </c>
      <c r="F25" s="89" t="s">
        <v>451</v>
      </c>
      <c r="G25" s="89" t="s">
        <v>452</v>
      </c>
      <c r="H25" s="89" t="s">
        <v>818</v>
      </c>
      <c r="I25" s="214" t="s">
        <v>455</v>
      </c>
      <c r="J25" s="89">
        <f t="shared" si="0"/>
        <v>1148389</v>
      </c>
      <c r="K25" s="92"/>
    </row>
    <row r="26" spans="1:11" x14ac:dyDescent="0.2">
      <c r="A26" s="116">
        <v>2600</v>
      </c>
      <c r="B26" s="95" t="s">
        <v>156</v>
      </c>
      <c r="C26" s="89">
        <v>279544</v>
      </c>
      <c r="D26" s="89">
        <v>134624</v>
      </c>
      <c r="E26" s="89">
        <v>1802958</v>
      </c>
      <c r="F26" s="89" t="s">
        <v>451</v>
      </c>
      <c r="G26" s="89" t="s">
        <v>452</v>
      </c>
      <c r="H26" s="89" t="s">
        <v>818</v>
      </c>
      <c r="I26" s="214" t="s">
        <v>455</v>
      </c>
      <c r="J26" s="89">
        <f t="shared" si="0"/>
        <v>2217126</v>
      </c>
      <c r="K26" s="92"/>
    </row>
    <row r="27" spans="1:11" x14ac:dyDescent="0.2">
      <c r="A27" s="217">
        <v>2700</v>
      </c>
      <c r="B27" s="211" t="s">
        <v>157</v>
      </c>
      <c r="C27" s="89">
        <v>538443</v>
      </c>
      <c r="D27" s="89">
        <v>267037</v>
      </c>
      <c r="E27" s="89">
        <v>624322</v>
      </c>
      <c r="F27" s="89" t="s">
        <v>451</v>
      </c>
      <c r="G27" s="89" t="s">
        <v>452</v>
      </c>
      <c r="H27" s="89" t="s">
        <v>818</v>
      </c>
      <c r="I27" s="214" t="s">
        <v>455</v>
      </c>
      <c r="J27" s="89">
        <f t="shared" si="0"/>
        <v>1429802</v>
      </c>
      <c r="K27" s="212" t="s">
        <v>819</v>
      </c>
    </row>
    <row r="28" spans="1:11" x14ac:dyDescent="0.2">
      <c r="A28" s="116">
        <v>2900</v>
      </c>
      <c r="B28" s="95" t="s">
        <v>158</v>
      </c>
      <c r="C28" s="89" t="s">
        <v>393</v>
      </c>
      <c r="D28" s="89">
        <v>253648</v>
      </c>
      <c r="E28" s="89" t="s">
        <v>450</v>
      </c>
      <c r="F28" s="89" t="s">
        <v>451</v>
      </c>
      <c r="G28" s="89" t="s">
        <v>452</v>
      </c>
      <c r="H28" s="89" t="s">
        <v>818</v>
      </c>
      <c r="I28" s="214" t="s">
        <v>455</v>
      </c>
      <c r="J28" s="89">
        <f t="shared" si="0"/>
        <v>253648</v>
      </c>
      <c r="K28" s="92" t="s">
        <v>820</v>
      </c>
    </row>
    <row r="29" spans="1:11" s="204" customFormat="1" ht="15" hidden="1" x14ac:dyDescent="0.25">
      <c r="A29" s="218">
        <v>3000</v>
      </c>
      <c r="B29" s="216" t="s">
        <v>159</v>
      </c>
      <c r="C29" s="89" t="s">
        <v>393</v>
      </c>
      <c r="D29" s="89" t="s">
        <v>498</v>
      </c>
      <c r="E29" s="89" t="s">
        <v>450</v>
      </c>
      <c r="F29" s="89" t="s">
        <v>451</v>
      </c>
      <c r="G29" s="89" t="s">
        <v>452</v>
      </c>
      <c r="H29" s="89" t="s">
        <v>818</v>
      </c>
      <c r="I29" s="214" t="s">
        <v>455</v>
      </c>
      <c r="J29" s="89">
        <f t="shared" si="0"/>
        <v>0</v>
      </c>
      <c r="K29" s="219"/>
    </row>
    <row r="30" spans="1:11" x14ac:dyDescent="0.2">
      <c r="A30" s="217">
        <v>3100</v>
      </c>
      <c r="B30" s="211" t="s">
        <v>160</v>
      </c>
      <c r="C30" s="89" t="s">
        <v>393</v>
      </c>
      <c r="D30" s="89" t="s">
        <v>498</v>
      </c>
      <c r="E30" s="89" t="s">
        <v>450</v>
      </c>
      <c r="F30" s="89">
        <v>182064</v>
      </c>
      <c r="G30" s="89" t="s">
        <v>452</v>
      </c>
      <c r="H30" s="89" t="s">
        <v>818</v>
      </c>
      <c r="I30" s="214" t="s">
        <v>455</v>
      </c>
      <c r="J30" s="89">
        <f t="shared" si="0"/>
        <v>182064</v>
      </c>
      <c r="K30" s="212" t="s">
        <v>819</v>
      </c>
    </row>
    <row r="31" spans="1:11" hidden="1" x14ac:dyDescent="0.2">
      <c r="A31" s="116">
        <v>3200</v>
      </c>
      <c r="B31" s="95" t="s">
        <v>161</v>
      </c>
      <c r="C31" s="89" t="s">
        <v>393</v>
      </c>
      <c r="D31" s="89" t="s">
        <v>498</v>
      </c>
      <c r="E31" s="89" t="s">
        <v>450</v>
      </c>
      <c r="F31" s="89" t="s">
        <v>451</v>
      </c>
      <c r="G31" s="89" t="s">
        <v>452</v>
      </c>
      <c r="H31" s="89" t="s">
        <v>818</v>
      </c>
      <c r="I31" s="214" t="s">
        <v>455</v>
      </c>
      <c r="J31" s="89">
        <f t="shared" si="0"/>
        <v>0</v>
      </c>
      <c r="K31" s="92"/>
    </row>
    <row r="32" spans="1:11" hidden="1" x14ac:dyDescent="0.2">
      <c r="A32" s="116">
        <v>3300</v>
      </c>
      <c r="B32" s="95" t="s">
        <v>162</v>
      </c>
      <c r="C32" s="89" t="s">
        <v>393</v>
      </c>
      <c r="D32" s="89" t="s">
        <v>498</v>
      </c>
      <c r="E32" s="89" t="s">
        <v>450</v>
      </c>
      <c r="F32" s="89" t="s">
        <v>451</v>
      </c>
      <c r="G32" s="89" t="s">
        <v>452</v>
      </c>
      <c r="H32" s="89" t="s">
        <v>818</v>
      </c>
      <c r="I32" s="214" t="s">
        <v>455</v>
      </c>
      <c r="J32" s="89">
        <f t="shared" si="0"/>
        <v>0</v>
      </c>
      <c r="K32" s="92"/>
    </row>
    <row r="33" spans="1:11" s="223" customFormat="1" hidden="1" x14ac:dyDescent="0.2">
      <c r="A33" s="220">
        <v>4100</v>
      </c>
      <c r="B33" s="221" t="s">
        <v>163</v>
      </c>
      <c r="C33" s="89" t="s">
        <v>393</v>
      </c>
      <c r="D33" s="89" t="s">
        <v>498</v>
      </c>
      <c r="E33" s="89" t="s">
        <v>450</v>
      </c>
      <c r="F33" s="89" t="s">
        <v>451</v>
      </c>
      <c r="G33" s="89" t="s">
        <v>452</v>
      </c>
      <c r="H33" s="89" t="s">
        <v>818</v>
      </c>
      <c r="I33" s="214" t="s">
        <v>455</v>
      </c>
      <c r="J33" s="89">
        <f t="shared" si="0"/>
        <v>0</v>
      </c>
      <c r="K33" s="222"/>
    </row>
    <row r="34" spans="1:11" s="225" customFormat="1" ht="15" hidden="1" x14ac:dyDescent="0.25">
      <c r="A34" s="220">
        <v>4000</v>
      </c>
      <c r="B34" s="221" t="s">
        <v>164</v>
      </c>
      <c r="C34" s="89" t="s">
        <v>393</v>
      </c>
      <c r="D34" s="89" t="s">
        <v>498</v>
      </c>
      <c r="E34" s="89" t="s">
        <v>450</v>
      </c>
      <c r="F34" s="89" t="s">
        <v>451</v>
      </c>
      <c r="G34" s="89" t="s">
        <v>452</v>
      </c>
      <c r="H34" s="89" t="s">
        <v>818</v>
      </c>
      <c r="I34" s="214" t="s">
        <v>455</v>
      </c>
      <c r="J34" s="89">
        <f t="shared" si="0"/>
        <v>0</v>
      </c>
      <c r="K34" s="224"/>
    </row>
    <row r="35" spans="1:11" s="223" customFormat="1" hidden="1" x14ac:dyDescent="0.2">
      <c r="A35" s="220">
        <v>4200</v>
      </c>
      <c r="B35" s="221" t="s">
        <v>165</v>
      </c>
      <c r="C35" s="89" t="s">
        <v>393</v>
      </c>
      <c r="D35" s="89" t="s">
        <v>498</v>
      </c>
      <c r="E35" s="89" t="s">
        <v>450</v>
      </c>
      <c r="F35" s="89" t="s">
        <v>451</v>
      </c>
      <c r="G35" s="89" t="s">
        <v>452</v>
      </c>
      <c r="H35" s="89" t="s">
        <v>818</v>
      </c>
      <c r="I35" s="214" t="s">
        <v>455</v>
      </c>
      <c r="J35" s="89">
        <f t="shared" si="0"/>
        <v>0</v>
      </c>
      <c r="K35" s="222"/>
    </row>
    <row r="36" spans="1:11" s="223" customFormat="1" hidden="1" x14ac:dyDescent="0.2">
      <c r="A36" s="220">
        <v>4300</v>
      </c>
      <c r="B36" s="221" t="s">
        <v>166</v>
      </c>
      <c r="C36" s="89" t="s">
        <v>393</v>
      </c>
      <c r="D36" s="89" t="s">
        <v>498</v>
      </c>
      <c r="E36" s="89" t="s">
        <v>450</v>
      </c>
      <c r="F36" s="89" t="s">
        <v>451</v>
      </c>
      <c r="G36" s="89" t="s">
        <v>452</v>
      </c>
      <c r="H36" s="89" t="s">
        <v>818</v>
      </c>
      <c r="I36" s="214" t="s">
        <v>455</v>
      </c>
      <c r="J36" s="89">
        <f t="shared" si="0"/>
        <v>0</v>
      </c>
      <c r="K36" s="222"/>
    </row>
    <row r="37" spans="1:11" s="223" customFormat="1" hidden="1" x14ac:dyDescent="0.2">
      <c r="A37" s="220">
        <v>4400</v>
      </c>
      <c r="B37" s="221" t="s">
        <v>167</v>
      </c>
      <c r="C37" s="89" t="s">
        <v>393</v>
      </c>
      <c r="D37" s="89" t="s">
        <v>498</v>
      </c>
      <c r="E37" s="89" t="s">
        <v>450</v>
      </c>
      <c r="F37" s="89" t="s">
        <v>451</v>
      </c>
      <c r="G37" s="89" t="s">
        <v>452</v>
      </c>
      <c r="H37" s="89" t="s">
        <v>818</v>
      </c>
      <c r="I37" s="214" t="s">
        <v>455</v>
      </c>
      <c r="J37" s="89">
        <f t="shared" si="0"/>
        <v>0</v>
      </c>
      <c r="K37" s="222"/>
    </row>
    <row r="38" spans="1:11" s="223" customFormat="1" hidden="1" x14ac:dyDescent="0.2">
      <c r="A38" s="220">
        <v>4500</v>
      </c>
      <c r="B38" s="221" t="s">
        <v>168</v>
      </c>
      <c r="C38" s="89" t="s">
        <v>393</v>
      </c>
      <c r="D38" s="89" t="s">
        <v>498</v>
      </c>
      <c r="E38" s="89" t="s">
        <v>450</v>
      </c>
      <c r="F38" s="89" t="s">
        <v>451</v>
      </c>
      <c r="G38" s="89" t="s">
        <v>452</v>
      </c>
      <c r="H38" s="89" t="s">
        <v>818</v>
      </c>
      <c r="I38" s="214" t="s">
        <v>455</v>
      </c>
      <c r="J38" s="89">
        <f t="shared" si="0"/>
        <v>0</v>
      </c>
      <c r="K38" s="222"/>
    </row>
    <row r="39" spans="1:11" s="223" customFormat="1" hidden="1" x14ac:dyDescent="0.2">
      <c r="A39" s="220">
        <v>4600</v>
      </c>
      <c r="B39" s="221" t="s">
        <v>169</v>
      </c>
      <c r="C39" s="89" t="s">
        <v>393</v>
      </c>
      <c r="D39" s="89" t="s">
        <v>498</v>
      </c>
      <c r="E39" s="89" t="s">
        <v>450</v>
      </c>
      <c r="F39" s="89" t="s">
        <v>451</v>
      </c>
      <c r="G39" s="89" t="s">
        <v>452</v>
      </c>
      <c r="H39" s="89" t="s">
        <v>818</v>
      </c>
      <c r="I39" s="214" t="s">
        <v>455</v>
      </c>
      <c r="J39" s="89">
        <f t="shared" si="0"/>
        <v>0</v>
      </c>
      <c r="K39" s="222"/>
    </row>
    <row r="40" spans="1:11" s="223" customFormat="1" hidden="1" x14ac:dyDescent="0.2">
      <c r="A40" s="220">
        <v>4700</v>
      </c>
      <c r="B40" s="221" t="s">
        <v>170</v>
      </c>
      <c r="C40" s="89" t="s">
        <v>393</v>
      </c>
      <c r="D40" s="89" t="s">
        <v>498</v>
      </c>
      <c r="E40" s="89" t="s">
        <v>450</v>
      </c>
      <c r="F40" s="89" t="s">
        <v>451</v>
      </c>
      <c r="G40" s="89" t="s">
        <v>452</v>
      </c>
      <c r="H40" s="89" t="s">
        <v>818</v>
      </c>
      <c r="I40" s="214" t="s">
        <v>455</v>
      </c>
      <c r="J40" s="89">
        <f t="shared" si="0"/>
        <v>0</v>
      </c>
      <c r="K40" s="222"/>
    </row>
    <row r="41" spans="1:11" s="223" customFormat="1" hidden="1" x14ac:dyDescent="0.2">
      <c r="A41" s="220">
        <v>4900</v>
      </c>
      <c r="B41" s="221" t="s">
        <v>171</v>
      </c>
      <c r="C41" s="89" t="s">
        <v>393</v>
      </c>
      <c r="D41" s="89" t="s">
        <v>498</v>
      </c>
      <c r="E41" s="89" t="s">
        <v>450</v>
      </c>
      <c r="F41" s="89" t="s">
        <v>451</v>
      </c>
      <c r="G41" s="89" t="s">
        <v>452</v>
      </c>
      <c r="H41" s="89" t="s">
        <v>818</v>
      </c>
      <c r="I41" s="214" t="s">
        <v>455</v>
      </c>
      <c r="J41" s="89">
        <f t="shared" si="0"/>
        <v>0</v>
      </c>
      <c r="K41" s="222"/>
    </row>
    <row r="42" spans="1:11" hidden="1" x14ac:dyDescent="0.2">
      <c r="A42" s="220">
        <v>5000</v>
      </c>
      <c r="B42" s="226" t="s">
        <v>172</v>
      </c>
      <c r="C42" s="89" t="s">
        <v>393</v>
      </c>
      <c r="D42" s="89" t="s">
        <v>498</v>
      </c>
      <c r="E42" s="89" t="s">
        <v>450</v>
      </c>
      <c r="F42" s="89" t="s">
        <v>451</v>
      </c>
      <c r="G42" s="89" t="s">
        <v>452</v>
      </c>
      <c r="H42" s="89" t="s">
        <v>818</v>
      </c>
      <c r="I42" s="214" t="s">
        <v>455</v>
      </c>
      <c r="J42" s="89">
        <f t="shared" si="0"/>
        <v>0</v>
      </c>
      <c r="K42" s="92"/>
    </row>
    <row r="43" spans="1:11" hidden="1" x14ac:dyDescent="0.2">
      <c r="A43" s="220">
        <v>5000</v>
      </c>
      <c r="B43" s="226" t="s">
        <v>173</v>
      </c>
      <c r="C43" s="89" t="s">
        <v>393</v>
      </c>
      <c r="D43" s="89" t="s">
        <v>498</v>
      </c>
      <c r="E43" s="89" t="s">
        <v>450</v>
      </c>
      <c r="F43" s="89" t="s">
        <v>451</v>
      </c>
      <c r="G43" s="89" t="s">
        <v>452</v>
      </c>
      <c r="H43" s="89" t="s">
        <v>818</v>
      </c>
      <c r="I43" s="214" t="s">
        <v>455</v>
      </c>
      <c r="J43" s="89">
        <f t="shared" si="0"/>
        <v>0</v>
      </c>
      <c r="K43" s="92"/>
    </row>
    <row r="44" spans="1:11" hidden="1" x14ac:dyDescent="0.2">
      <c r="A44" s="220">
        <v>6100</v>
      </c>
      <c r="B44" s="226" t="s">
        <v>174</v>
      </c>
      <c r="C44" s="89" t="s">
        <v>393</v>
      </c>
      <c r="D44" s="89" t="s">
        <v>498</v>
      </c>
      <c r="E44" s="89" t="s">
        <v>450</v>
      </c>
      <c r="F44" s="89" t="s">
        <v>451</v>
      </c>
      <c r="G44" s="89" t="s">
        <v>452</v>
      </c>
      <c r="H44" s="89" t="s">
        <v>818</v>
      </c>
      <c r="I44" s="214" t="s">
        <v>455</v>
      </c>
      <c r="J44" s="89">
        <f t="shared" si="0"/>
        <v>0</v>
      </c>
      <c r="K44" s="92"/>
    </row>
    <row r="45" spans="1:11" x14ac:dyDescent="0.2">
      <c r="A45" s="116">
        <v>6200</v>
      </c>
      <c r="B45" s="95" t="s">
        <v>175</v>
      </c>
      <c r="C45" s="89" t="s">
        <v>393</v>
      </c>
      <c r="D45" s="89" t="s">
        <v>498</v>
      </c>
      <c r="E45" s="89" t="s">
        <v>450</v>
      </c>
      <c r="F45" s="89" t="s">
        <v>451</v>
      </c>
      <c r="G45" s="89" t="s">
        <v>452</v>
      </c>
      <c r="H45" s="89" t="s">
        <v>818</v>
      </c>
      <c r="I45" s="214">
        <v>877390</v>
      </c>
      <c r="J45" s="89">
        <f t="shared" si="0"/>
        <v>877390</v>
      </c>
      <c r="K45" s="92" t="s">
        <v>821</v>
      </c>
    </row>
    <row r="46" spans="1:11" hidden="1" x14ac:dyDescent="0.2">
      <c r="A46" s="116">
        <v>6300</v>
      </c>
      <c r="B46" s="95" t="s">
        <v>176</v>
      </c>
      <c r="C46" s="89" t="s">
        <v>393</v>
      </c>
      <c r="D46" s="89" t="s">
        <v>498</v>
      </c>
      <c r="E46" s="89" t="s">
        <v>450</v>
      </c>
      <c r="F46" s="89" t="s">
        <v>451</v>
      </c>
      <c r="G46" s="89" t="s">
        <v>452</v>
      </c>
      <c r="H46" s="89" t="s">
        <v>818</v>
      </c>
      <c r="I46" s="214" t="s">
        <v>455</v>
      </c>
      <c r="J46" s="89">
        <f t="shared" si="0"/>
        <v>0</v>
      </c>
      <c r="K46" s="92"/>
    </row>
    <row r="47" spans="1:11" x14ac:dyDescent="0.2">
      <c r="A47" s="116">
        <v>8000</v>
      </c>
      <c r="B47" s="227" t="s">
        <v>177</v>
      </c>
      <c r="C47" s="89" t="s">
        <v>393</v>
      </c>
      <c r="D47" s="89" t="s">
        <v>498</v>
      </c>
      <c r="E47" s="89" t="s">
        <v>450</v>
      </c>
      <c r="F47" s="89" t="s">
        <v>451</v>
      </c>
      <c r="G47" s="89" t="s">
        <v>452</v>
      </c>
      <c r="H47" s="89" t="s">
        <v>818</v>
      </c>
      <c r="I47" s="214">
        <v>3843858</v>
      </c>
      <c r="J47" s="89">
        <f t="shared" si="0"/>
        <v>3843858</v>
      </c>
      <c r="K47" s="92">
        <v>3477701</v>
      </c>
    </row>
    <row r="48" spans="1:11" hidden="1" x14ac:dyDescent="0.2">
      <c r="A48" s="116"/>
      <c r="B48" s="227" t="s">
        <v>445</v>
      </c>
      <c r="C48" s="89" t="s">
        <v>393</v>
      </c>
      <c r="D48" s="89" t="s">
        <v>498</v>
      </c>
      <c r="E48" s="89" t="s">
        <v>450</v>
      </c>
      <c r="F48" s="89" t="s">
        <v>451</v>
      </c>
      <c r="G48" s="89" t="s">
        <v>452</v>
      </c>
      <c r="H48" s="89" t="s">
        <v>818</v>
      </c>
      <c r="I48" s="214" t="s">
        <v>455</v>
      </c>
      <c r="J48" s="89">
        <f t="shared" si="0"/>
        <v>0</v>
      </c>
      <c r="K48" s="92"/>
    </row>
    <row r="49" spans="1:11" hidden="1" x14ac:dyDescent="0.2">
      <c r="A49" s="229"/>
      <c r="B49" s="100" t="s">
        <v>446</v>
      </c>
      <c r="C49" s="89" t="s">
        <v>393</v>
      </c>
      <c r="D49" s="89" t="s">
        <v>498</v>
      </c>
      <c r="E49" s="89" t="s">
        <v>450</v>
      </c>
      <c r="F49" s="89" t="s">
        <v>451</v>
      </c>
      <c r="G49" s="89" t="s">
        <v>452</v>
      </c>
      <c r="H49" s="89" t="s">
        <v>818</v>
      </c>
      <c r="I49" s="214" t="s">
        <v>455</v>
      </c>
      <c r="J49" s="89">
        <f t="shared" si="0"/>
        <v>0</v>
      </c>
      <c r="K49" s="92"/>
    </row>
    <row r="50" spans="1:11" ht="15.75" thickBot="1" x14ac:dyDescent="0.3">
      <c r="A50" s="230"/>
      <c r="B50" s="231" t="s">
        <v>255</v>
      </c>
      <c r="C50" s="232" t="s">
        <v>393</v>
      </c>
      <c r="D50" s="232" t="s">
        <v>498</v>
      </c>
      <c r="E50" s="232" t="s">
        <v>450</v>
      </c>
      <c r="F50" s="232" t="s">
        <v>451</v>
      </c>
      <c r="G50" s="659" t="s">
        <v>452</v>
      </c>
      <c r="H50" s="232"/>
      <c r="I50" s="316">
        <v>828294</v>
      </c>
      <c r="J50" s="232">
        <f t="shared" si="0"/>
        <v>828294</v>
      </c>
      <c r="K50" s="660" t="s">
        <v>822</v>
      </c>
    </row>
    <row r="51" spans="1:11" ht="15.75" thickBot="1" x14ac:dyDescent="0.3">
      <c r="A51" s="234"/>
      <c r="B51" s="235" t="s">
        <v>447</v>
      </c>
      <c r="C51" s="236">
        <f>SUM(C2:C50)</f>
        <v>5638237</v>
      </c>
      <c r="D51" s="236">
        <f>SUM(D2:D50)</f>
        <v>2703061</v>
      </c>
      <c r="E51" s="236">
        <f>SUM(E2:E50)</f>
        <v>3741250</v>
      </c>
      <c r="F51" s="236">
        <f t="shared" ref="F51:I51" si="1">SUM(F2:F50)</f>
        <v>182064</v>
      </c>
      <c r="G51" s="236">
        <f t="shared" si="1"/>
        <v>0</v>
      </c>
      <c r="H51" s="236">
        <f t="shared" si="1"/>
        <v>0</v>
      </c>
      <c r="I51" s="237">
        <f t="shared" si="1"/>
        <v>5549542</v>
      </c>
      <c r="J51" s="236">
        <f t="shared" si="0"/>
        <v>17814154</v>
      </c>
      <c r="K51" s="239"/>
    </row>
    <row r="52" spans="1:11" ht="15.75" thickBot="1" x14ac:dyDescent="0.3">
      <c r="A52" s="218" t="s">
        <v>448</v>
      </c>
      <c r="B52" s="95"/>
      <c r="C52" s="240">
        <v>0</v>
      </c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661">
        <v>2996722</v>
      </c>
      <c r="J52" s="662">
        <f t="shared" si="0"/>
        <v>2996722</v>
      </c>
      <c r="K52" s="112"/>
    </row>
    <row r="53" spans="1:11" ht="15.75" hidden="1" thickBot="1" x14ac:dyDescent="0.3">
      <c r="A53" s="243" t="s">
        <v>453</v>
      </c>
      <c r="B53" s="244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8">
        <v>0</v>
      </c>
      <c r="J53" s="209">
        <f t="shared" si="0"/>
        <v>0</v>
      </c>
      <c r="K53" s="233"/>
    </row>
    <row r="54" spans="1:11" ht="20.25" customHeight="1" thickBot="1" x14ac:dyDescent="0.3">
      <c r="A54" s="245" t="s">
        <v>454</v>
      </c>
      <c r="B54" s="246"/>
      <c r="C54" s="247">
        <f>SUM(C51:C53)</f>
        <v>5638237</v>
      </c>
      <c r="D54" s="247">
        <f t="shared" ref="D54:H54" si="2">SUM(D51:D53)</f>
        <v>2703061</v>
      </c>
      <c r="E54" s="247">
        <f t="shared" si="2"/>
        <v>3741250</v>
      </c>
      <c r="F54" s="247">
        <f t="shared" si="2"/>
        <v>182064</v>
      </c>
      <c r="G54" s="247">
        <f t="shared" si="2"/>
        <v>0</v>
      </c>
      <c r="H54" s="247">
        <f t="shared" si="2"/>
        <v>0</v>
      </c>
      <c r="I54" s="248">
        <f>SUM(I51:I53)</f>
        <v>8546264</v>
      </c>
      <c r="J54" s="236">
        <f>SUM(C54:I54)</f>
        <v>20810876</v>
      </c>
      <c r="K54" s="239"/>
    </row>
    <row r="55" spans="1:11" ht="18" customHeight="1" x14ac:dyDescent="0.25">
      <c r="A55" s="218" t="s">
        <v>308</v>
      </c>
      <c r="B55" s="95"/>
      <c r="C55" s="144"/>
      <c r="D55" s="240"/>
      <c r="E55" s="240"/>
      <c r="F55" s="240"/>
      <c r="G55" s="240"/>
      <c r="H55" s="240"/>
      <c r="I55" s="241"/>
      <c r="J55" s="144"/>
      <c r="K55" s="112"/>
    </row>
    <row r="56" spans="1:11" ht="15" hidden="1" x14ac:dyDescent="0.25">
      <c r="A56" s="116"/>
      <c r="B56" s="95" t="s">
        <v>179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214">
        <v>0</v>
      </c>
      <c r="J56" s="89">
        <f t="shared" si="0"/>
        <v>0</v>
      </c>
      <c r="K56" s="249"/>
    </row>
    <row r="57" spans="1:11" ht="15" x14ac:dyDescent="0.25">
      <c r="A57" s="116"/>
      <c r="B57" s="95" t="s">
        <v>145</v>
      </c>
      <c r="C57" s="89"/>
      <c r="D57" s="89"/>
      <c r="E57" s="89">
        <v>0</v>
      </c>
      <c r="F57" s="89">
        <v>0</v>
      </c>
      <c r="G57" s="89">
        <v>0</v>
      </c>
      <c r="H57" s="89">
        <v>0</v>
      </c>
      <c r="I57" s="663">
        <v>69800</v>
      </c>
      <c r="J57" s="664">
        <f t="shared" si="0"/>
        <v>69800</v>
      </c>
      <c r="K57" s="249"/>
    </row>
    <row r="58" spans="1:11" ht="15" x14ac:dyDescent="0.25">
      <c r="A58" s="116"/>
      <c r="B58" s="95" t="s">
        <v>180</v>
      </c>
      <c r="C58" s="89"/>
      <c r="D58" s="89"/>
      <c r="E58" s="89"/>
      <c r="F58" s="89">
        <v>0</v>
      </c>
      <c r="G58" s="89">
        <v>0</v>
      </c>
      <c r="H58" s="89">
        <v>0</v>
      </c>
      <c r="I58" s="663">
        <v>772881</v>
      </c>
      <c r="J58" s="664">
        <f t="shared" si="0"/>
        <v>772881</v>
      </c>
      <c r="K58" s="249"/>
    </row>
    <row r="59" spans="1:11" ht="15" hidden="1" x14ac:dyDescent="0.25">
      <c r="A59" s="116"/>
      <c r="B59" s="95" t="s">
        <v>181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214">
        <v>0</v>
      </c>
      <c r="J59" s="89">
        <f t="shared" si="0"/>
        <v>0</v>
      </c>
      <c r="K59" s="249"/>
    </row>
    <row r="60" spans="1:11" ht="15" hidden="1" x14ac:dyDescent="0.25">
      <c r="A60" s="116"/>
      <c r="B60" s="95" t="s">
        <v>182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214">
        <v>0</v>
      </c>
      <c r="J60" s="89">
        <f t="shared" si="0"/>
        <v>0</v>
      </c>
      <c r="K60" s="249"/>
    </row>
    <row r="61" spans="1:11" ht="15" hidden="1" x14ac:dyDescent="0.25">
      <c r="A61" s="251"/>
      <c r="B61" s="100" t="s">
        <v>183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214">
        <v>0</v>
      </c>
      <c r="J61" s="89">
        <f t="shared" si="0"/>
        <v>0</v>
      </c>
      <c r="K61" s="249"/>
    </row>
    <row r="62" spans="1:11" ht="15" hidden="1" x14ac:dyDescent="0.25">
      <c r="A62" s="251"/>
      <c r="B62" s="100" t="s">
        <v>184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214">
        <v>0</v>
      </c>
      <c r="J62" s="89">
        <f t="shared" si="0"/>
        <v>0</v>
      </c>
      <c r="K62" s="249"/>
    </row>
    <row r="63" spans="1:11" ht="15" x14ac:dyDescent="0.25">
      <c r="A63" s="251"/>
      <c r="B63" s="100" t="s">
        <v>185</v>
      </c>
      <c r="C63" s="89">
        <v>0</v>
      </c>
      <c r="D63" s="89">
        <v>0</v>
      </c>
      <c r="E63" s="89"/>
      <c r="F63" s="89">
        <v>0</v>
      </c>
      <c r="G63" s="89">
        <v>0</v>
      </c>
      <c r="H63" s="89">
        <v>0</v>
      </c>
      <c r="I63" s="663">
        <v>69604</v>
      </c>
      <c r="J63" s="664">
        <f t="shared" si="0"/>
        <v>69604</v>
      </c>
      <c r="K63" s="249"/>
    </row>
    <row r="64" spans="1:11" ht="15" hidden="1" x14ac:dyDescent="0.25">
      <c r="A64" s="251"/>
      <c r="B64" s="100" t="s">
        <v>186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214">
        <v>0</v>
      </c>
      <c r="J64" s="89">
        <f t="shared" si="0"/>
        <v>0</v>
      </c>
      <c r="K64" s="249"/>
    </row>
    <row r="65" spans="1:11" ht="15" x14ac:dyDescent="0.25">
      <c r="A65" s="251"/>
      <c r="B65" s="100" t="s">
        <v>187</v>
      </c>
      <c r="C65" s="89">
        <v>0</v>
      </c>
      <c r="D65" s="89">
        <v>0</v>
      </c>
      <c r="E65" s="89"/>
      <c r="F65" s="89">
        <v>0</v>
      </c>
      <c r="G65" s="89">
        <v>0</v>
      </c>
      <c r="H65" s="89">
        <v>0</v>
      </c>
      <c r="I65" s="214">
        <v>403093</v>
      </c>
      <c r="J65" s="664">
        <f t="shared" si="0"/>
        <v>403093</v>
      </c>
      <c r="K65" s="249"/>
    </row>
    <row r="66" spans="1:11" ht="15" x14ac:dyDescent="0.25">
      <c r="A66" s="251"/>
      <c r="B66" s="100" t="s">
        <v>188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214">
        <v>836801</v>
      </c>
      <c r="J66" s="664">
        <f t="shared" si="0"/>
        <v>836801</v>
      </c>
      <c r="K66" s="249"/>
    </row>
    <row r="67" spans="1:11" ht="15" hidden="1" x14ac:dyDescent="0.25">
      <c r="A67" s="251"/>
      <c r="B67" s="100" t="s">
        <v>189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214">
        <v>0</v>
      </c>
      <c r="J67" s="89">
        <f t="shared" si="0"/>
        <v>0</v>
      </c>
      <c r="K67" s="249"/>
    </row>
    <row r="68" spans="1:11" ht="15" hidden="1" x14ac:dyDescent="0.25">
      <c r="A68" s="116"/>
      <c r="B68" s="95" t="s">
        <v>190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214">
        <v>0</v>
      </c>
      <c r="J68" s="89">
        <f t="shared" ref="J68:J131" si="3">SUM(C68:I68)</f>
        <v>0</v>
      </c>
      <c r="K68" s="249"/>
    </row>
    <row r="69" spans="1:11" ht="15" x14ac:dyDescent="0.25">
      <c r="A69" s="116"/>
      <c r="B69" s="95" t="s">
        <v>191</v>
      </c>
      <c r="C69" s="89"/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214">
        <v>0</v>
      </c>
      <c r="J69" s="89">
        <f t="shared" si="3"/>
        <v>0</v>
      </c>
      <c r="K69" s="219" t="s">
        <v>823</v>
      </c>
    </row>
    <row r="70" spans="1:11" ht="15" hidden="1" x14ac:dyDescent="0.25">
      <c r="A70" s="116"/>
      <c r="B70" s="95" t="s">
        <v>192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214">
        <v>0</v>
      </c>
      <c r="J70" s="89">
        <f t="shared" si="3"/>
        <v>0</v>
      </c>
      <c r="K70" s="249"/>
    </row>
    <row r="71" spans="1:11" ht="15" hidden="1" x14ac:dyDescent="0.25">
      <c r="A71" s="116"/>
      <c r="B71" s="95" t="s">
        <v>193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214">
        <v>0</v>
      </c>
      <c r="J71" s="89">
        <f t="shared" si="3"/>
        <v>0</v>
      </c>
      <c r="K71" s="249"/>
    </row>
    <row r="72" spans="1:11" ht="15" hidden="1" x14ac:dyDescent="0.25">
      <c r="A72" s="116"/>
      <c r="B72" s="95" t="s">
        <v>194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214">
        <v>0</v>
      </c>
      <c r="J72" s="89">
        <f t="shared" si="3"/>
        <v>0</v>
      </c>
      <c r="K72" s="249"/>
    </row>
    <row r="73" spans="1:11" ht="15" hidden="1" x14ac:dyDescent="0.25">
      <c r="A73" s="116"/>
      <c r="B73" s="95" t="s">
        <v>195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214">
        <v>0</v>
      </c>
      <c r="J73" s="89">
        <f t="shared" si="3"/>
        <v>0</v>
      </c>
      <c r="K73" s="249"/>
    </row>
    <row r="74" spans="1:11" ht="15" hidden="1" x14ac:dyDescent="0.25">
      <c r="A74" s="116"/>
      <c r="B74" s="95" t="s">
        <v>196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214">
        <v>0</v>
      </c>
      <c r="J74" s="89">
        <f t="shared" si="3"/>
        <v>0</v>
      </c>
      <c r="K74" s="249"/>
    </row>
    <row r="75" spans="1:11" ht="15" hidden="1" x14ac:dyDescent="0.25">
      <c r="A75" s="116"/>
      <c r="B75" s="95" t="s">
        <v>197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214">
        <v>0</v>
      </c>
      <c r="J75" s="89">
        <f t="shared" si="3"/>
        <v>0</v>
      </c>
      <c r="K75" s="249"/>
    </row>
    <row r="76" spans="1:11" ht="15" hidden="1" x14ac:dyDescent="0.25">
      <c r="A76" s="116"/>
      <c r="B76" s="95" t="s">
        <v>198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214">
        <v>0</v>
      </c>
      <c r="J76" s="89">
        <f t="shared" si="3"/>
        <v>0</v>
      </c>
      <c r="K76" s="249"/>
    </row>
    <row r="77" spans="1:11" ht="15" hidden="1" x14ac:dyDescent="0.25">
      <c r="A77" s="116"/>
      <c r="B77" s="95" t="s">
        <v>199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214">
        <v>0</v>
      </c>
      <c r="J77" s="89">
        <f t="shared" si="3"/>
        <v>0</v>
      </c>
      <c r="K77" s="249"/>
    </row>
    <row r="78" spans="1:11" ht="15" hidden="1" x14ac:dyDescent="0.25">
      <c r="A78" s="116"/>
      <c r="B78" s="95" t="s">
        <v>200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214">
        <v>0</v>
      </c>
      <c r="J78" s="89">
        <f t="shared" si="3"/>
        <v>0</v>
      </c>
      <c r="K78" s="249"/>
    </row>
    <row r="79" spans="1:11" ht="15" hidden="1" x14ac:dyDescent="0.25">
      <c r="A79" s="116"/>
      <c r="B79" s="95" t="s">
        <v>201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214">
        <v>0</v>
      </c>
      <c r="J79" s="89">
        <f t="shared" si="3"/>
        <v>0</v>
      </c>
      <c r="K79" s="249"/>
    </row>
    <row r="80" spans="1:11" ht="15" hidden="1" x14ac:dyDescent="0.25">
      <c r="A80" s="116"/>
      <c r="B80" s="95" t="s">
        <v>202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214">
        <v>0</v>
      </c>
      <c r="J80" s="89">
        <f t="shared" si="3"/>
        <v>0</v>
      </c>
      <c r="K80" s="249"/>
    </row>
    <row r="81" spans="1:12" ht="15" hidden="1" x14ac:dyDescent="0.25">
      <c r="A81" s="116"/>
      <c r="B81" s="95" t="s">
        <v>203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214">
        <v>0</v>
      </c>
      <c r="J81" s="89">
        <f t="shared" si="3"/>
        <v>0</v>
      </c>
      <c r="K81" s="249"/>
    </row>
    <row r="82" spans="1:12" ht="15" hidden="1" x14ac:dyDescent="0.25">
      <c r="A82" s="116"/>
      <c r="B82" s="95" t="s">
        <v>204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214">
        <v>0</v>
      </c>
      <c r="J82" s="89">
        <f t="shared" si="3"/>
        <v>0</v>
      </c>
      <c r="K82" s="249"/>
    </row>
    <row r="83" spans="1:12" ht="15" x14ac:dyDescent="0.25">
      <c r="A83" s="116"/>
      <c r="B83" s="95" t="s">
        <v>205</v>
      </c>
      <c r="C83" s="89"/>
      <c r="D83" s="89"/>
      <c r="E83" s="89"/>
      <c r="F83" s="89">
        <v>0</v>
      </c>
      <c r="G83" s="89">
        <v>0</v>
      </c>
      <c r="H83" s="89">
        <v>0</v>
      </c>
      <c r="I83" s="663">
        <v>2279249</v>
      </c>
      <c r="J83" s="664">
        <f t="shared" si="3"/>
        <v>2279249</v>
      </c>
      <c r="K83" s="219" t="s">
        <v>824</v>
      </c>
    </row>
    <row r="84" spans="1:12" hidden="1" x14ac:dyDescent="0.2">
      <c r="A84" s="116"/>
      <c r="B84" s="95" t="s">
        <v>206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214">
        <v>0</v>
      </c>
      <c r="J84" s="89">
        <f t="shared" si="3"/>
        <v>0</v>
      </c>
      <c r="K84" s="252"/>
    </row>
    <row r="85" spans="1:12" hidden="1" x14ac:dyDescent="0.2">
      <c r="A85" s="116"/>
      <c r="B85" s="95" t="s">
        <v>207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214">
        <v>0</v>
      </c>
      <c r="J85" s="89">
        <f t="shared" si="3"/>
        <v>0</v>
      </c>
      <c r="K85" s="252"/>
    </row>
    <row r="86" spans="1:12" ht="15" x14ac:dyDescent="0.25">
      <c r="A86" s="116"/>
      <c r="B86" s="95" t="s">
        <v>208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663">
        <v>43503</v>
      </c>
      <c r="J86" s="664">
        <f t="shared" si="3"/>
        <v>43503</v>
      </c>
      <c r="K86" s="219" t="s">
        <v>825</v>
      </c>
    </row>
    <row r="87" spans="1:12" ht="15" hidden="1" x14ac:dyDescent="0.25">
      <c r="A87" s="116"/>
      <c r="B87" s="95" t="s">
        <v>209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214">
        <v>0</v>
      </c>
      <c r="J87" s="89">
        <f t="shared" si="3"/>
        <v>0</v>
      </c>
      <c r="K87" s="249"/>
    </row>
    <row r="88" spans="1:12" ht="15" hidden="1" x14ac:dyDescent="0.25">
      <c r="A88" s="116"/>
      <c r="B88" s="95" t="s">
        <v>210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214">
        <v>0</v>
      </c>
      <c r="J88" s="89">
        <f t="shared" si="3"/>
        <v>0</v>
      </c>
      <c r="K88" s="249"/>
      <c r="L88" s="77"/>
    </row>
    <row r="89" spans="1:12" ht="15" hidden="1" x14ac:dyDescent="0.25">
      <c r="A89" s="116"/>
      <c r="B89" s="95" t="s">
        <v>211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214">
        <v>0</v>
      </c>
      <c r="J89" s="89">
        <f t="shared" si="3"/>
        <v>0</v>
      </c>
      <c r="K89" s="249"/>
      <c r="L89" s="77"/>
    </row>
    <row r="90" spans="1:12" ht="15" hidden="1" x14ac:dyDescent="0.25">
      <c r="A90" s="116"/>
      <c r="B90" s="95" t="s">
        <v>212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214">
        <v>0</v>
      </c>
      <c r="J90" s="89">
        <f t="shared" si="3"/>
        <v>0</v>
      </c>
      <c r="K90" s="249"/>
      <c r="L90" s="77"/>
    </row>
    <row r="91" spans="1:12" ht="15" hidden="1" x14ac:dyDescent="0.25">
      <c r="A91" s="116"/>
      <c r="B91" s="95" t="s">
        <v>213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214">
        <v>0</v>
      </c>
      <c r="J91" s="89">
        <f t="shared" si="3"/>
        <v>0</v>
      </c>
      <c r="K91" s="249"/>
      <c r="L91" s="77"/>
    </row>
    <row r="92" spans="1:12" hidden="1" x14ac:dyDescent="0.2">
      <c r="A92" s="116"/>
      <c r="B92" s="95" t="s">
        <v>214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214">
        <v>0</v>
      </c>
      <c r="J92" s="89">
        <f t="shared" si="3"/>
        <v>0</v>
      </c>
      <c r="K92" s="252"/>
    </row>
    <row r="93" spans="1:12" hidden="1" x14ac:dyDescent="0.2">
      <c r="A93" s="116"/>
      <c r="B93" s="95" t="s">
        <v>215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214">
        <v>0</v>
      </c>
      <c r="J93" s="89">
        <f t="shared" si="3"/>
        <v>0</v>
      </c>
      <c r="K93" s="252"/>
    </row>
    <row r="94" spans="1:12" hidden="1" x14ac:dyDescent="0.2">
      <c r="A94" s="116"/>
      <c r="B94" s="95" t="s">
        <v>216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214">
        <v>0</v>
      </c>
      <c r="J94" s="89">
        <f t="shared" si="3"/>
        <v>0</v>
      </c>
      <c r="K94" s="252"/>
    </row>
    <row r="95" spans="1:12" hidden="1" x14ac:dyDescent="0.2">
      <c r="A95" s="116"/>
      <c r="B95" s="95" t="s">
        <v>217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214">
        <v>0</v>
      </c>
      <c r="J95" s="89">
        <f t="shared" si="3"/>
        <v>0</v>
      </c>
      <c r="K95" s="252"/>
    </row>
    <row r="96" spans="1:12" hidden="1" x14ac:dyDescent="0.2">
      <c r="A96" s="116"/>
      <c r="B96" s="95" t="s">
        <v>218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214">
        <v>0</v>
      </c>
      <c r="J96" s="89">
        <f t="shared" si="3"/>
        <v>0</v>
      </c>
      <c r="K96" s="252"/>
    </row>
    <row r="97" spans="1:11" hidden="1" x14ac:dyDescent="0.2">
      <c r="A97" s="116"/>
      <c r="B97" s="95" t="s">
        <v>219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214">
        <v>0</v>
      </c>
      <c r="J97" s="89">
        <f t="shared" si="3"/>
        <v>0</v>
      </c>
      <c r="K97" s="252"/>
    </row>
    <row r="98" spans="1:11" ht="15" hidden="1" x14ac:dyDescent="0.25">
      <c r="A98" s="251"/>
      <c r="B98" s="100" t="s">
        <v>220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214">
        <v>0</v>
      </c>
      <c r="J98" s="89">
        <f t="shared" si="3"/>
        <v>0</v>
      </c>
      <c r="K98" s="249"/>
    </row>
    <row r="99" spans="1:11" ht="15" hidden="1" x14ac:dyDescent="0.25">
      <c r="A99" s="251"/>
      <c r="B99" s="100" t="s">
        <v>221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214">
        <v>0</v>
      </c>
      <c r="J99" s="89">
        <f t="shared" si="3"/>
        <v>0</v>
      </c>
      <c r="K99" s="249"/>
    </row>
    <row r="100" spans="1:11" ht="15" x14ac:dyDescent="0.25">
      <c r="A100" s="210" t="s">
        <v>10</v>
      </c>
      <c r="B100" s="211" t="s">
        <v>142</v>
      </c>
      <c r="C100" s="89">
        <f>166883.17/2</f>
        <v>83441.585000000006</v>
      </c>
      <c r="D100" s="89">
        <f>57816.12/2</f>
        <v>28908.06</v>
      </c>
      <c r="E100" s="89">
        <f>33300.71/2</f>
        <v>16650.355</v>
      </c>
      <c r="F100" s="89">
        <v>0</v>
      </c>
      <c r="G100" s="89">
        <v>0</v>
      </c>
      <c r="H100" s="89">
        <v>0</v>
      </c>
      <c r="I100" s="665">
        <v>0</v>
      </c>
      <c r="J100" s="664">
        <f t="shared" si="3"/>
        <v>129000</v>
      </c>
      <c r="K100" s="255" t="s">
        <v>826</v>
      </c>
    </row>
    <row r="101" spans="1:11" ht="15" x14ac:dyDescent="0.25">
      <c r="A101" s="210" t="s">
        <v>10</v>
      </c>
      <c r="B101" s="211" t="s">
        <v>141</v>
      </c>
      <c r="C101" s="89">
        <f>20000+C100</f>
        <v>103441.58500000001</v>
      </c>
      <c r="D101" s="89">
        <f>3617.73+D100</f>
        <v>32525.79</v>
      </c>
      <c r="E101" s="89">
        <f>+E100</f>
        <v>16650.355</v>
      </c>
      <c r="F101" s="89">
        <v>0</v>
      </c>
      <c r="G101" s="89">
        <v>0</v>
      </c>
      <c r="H101" s="89">
        <v>0</v>
      </c>
      <c r="I101" s="665">
        <v>0</v>
      </c>
      <c r="J101" s="664">
        <f t="shared" si="3"/>
        <v>152617.73000000001</v>
      </c>
      <c r="K101" s="255" t="s">
        <v>827</v>
      </c>
    </row>
    <row r="102" spans="1:11" hidden="1" x14ac:dyDescent="0.2">
      <c r="A102" s="210" t="s">
        <v>33</v>
      </c>
      <c r="B102" s="211" t="s">
        <v>222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214">
        <v>0</v>
      </c>
      <c r="J102" s="89">
        <f t="shared" si="3"/>
        <v>0</v>
      </c>
      <c r="K102" s="255"/>
    </row>
    <row r="103" spans="1:11" x14ac:dyDescent="0.2">
      <c r="A103" s="210" t="s">
        <v>10</v>
      </c>
      <c r="B103" s="211" t="s">
        <v>138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214">
        <v>0</v>
      </c>
      <c r="J103" s="89">
        <f t="shared" si="3"/>
        <v>0</v>
      </c>
      <c r="K103" s="255" t="s">
        <v>828</v>
      </c>
    </row>
    <row r="104" spans="1:11" ht="15" x14ac:dyDescent="0.25">
      <c r="A104" s="210" t="s">
        <v>10</v>
      </c>
      <c r="B104" s="211" t="s">
        <v>136</v>
      </c>
      <c r="C104" s="89">
        <v>815519.96</v>
      </c>
      <c r="D104" s="89">
        <v>314914.24</v>
      </c>
      <c r="E104" s="89">
        <v>64150.8</v>
      </c>
      <c r="F104" s="89">
        <v>0</v>
      </c>
      <c r="G104" s="89">
        <v>0</v>
      </c>
      <c r="H104" s="89">
        <v>0</v>
      </c>
      <c r="I104" s="663">
        <v>737695</v>
      </c>
      <c r="J104" s="664">
        <f t="shared" si="3"/>
        <v>1932280</v>
      </c>
      <c r="K104" s="255" t="s">
        <v>829</v>
      </c>
    </row>
    <row r="105" spans="1:11" hidden="1" x14ac:dyDescent="0.2">
      <c r="A105" s="257"/>
      <c r="B105" s="95" t="s">
        <v>223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214">
        <v>0</v>
      </c>
      <c r="J105" s="89">
        <f t="shared" si="3"/>
        <v>0</v>
      </c>
      <c r="K105" s="252"/>
    </row>
    <row r="106" spans="1:11" hidden="1" x14ac:dyDescent="0.2">
      <c r="A106" s="257"/>
      <c r="B106" s="95" t="s">
        <v>224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214">
        <v>0</v>
      </c>
      <c r="J106" s="89">
        <f t="shared" si="3"/>
        <v>0</v>
      </c>
      <c r="K106" s="252"/>
    </row>
    <row r="107" spans="1:11" hidden="1" x14ac:dyDescent="0.2">
      <c r="A107" s="257"/>
      <c r="B107" s="95" t="s">
        <v>225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214">
        <v>0</v>
      </c>
      <c r="J107" s="89">
        <f t="shared" si="3"/>
        <v>0</v>
      </c>
      <c r="K107" s="252"/>
    </row>
    <row r="108" spans="1:11" hidden="1" x14ac:dyDescent="0.2">
      <c r="A108" s="257"/>
      <c r="B108" s="95" t="s">
        <v>226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214">
        <v>0</v>
      </c>
      <c r="J108" s="89">
        <f t="shared" si="3"/>
        <v>0</v>
      </c>
      <c r="K108" s="252"/>
    </row>
    <row r="109" spans="1:11" ht="15" hidden="1" x14ac:dyDescent="0.25">
      <c r="A109" s="116"/>
      <c r="B109" s="95" t="s">
        <v>227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214">
        <v>0</v>
      </c>
      <c r="J109" s="89">
        <f t="shared" si="3"/>
        <v>0</v>
      </c>
      <c r="K109" s="249"/>
    </row>
    <row r="110" spans="1:11" ht="15" hidden="1" x14ac:dyDescent="0.25">
      <c r="A110" s="116"/>
      <c r="B110" s="95" t="s">
        <v>228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214">
        <v>0</v>
      </c>
      <c r="J110" s="89">
        <f t="shared" si="3"/>
        <v>0</v>
      </c>
      <c r="K110" s="249"/>
    </row>
    <row r="111" spans="1:11" ht="15" hidden="1" x14ac:dyDescent="0.25">
      <c r="A111" s="116"/>
      <c r="B111" s="95" t="s">
        <v>229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214">
        <v>0</v>
      </c>
      <c r="J111" s="89">
        <f t="shared" si="3"/>
        <v>0</v>
      </c>
      <c r="K111" s="249"/>
    </row>
    <row r="112" spans="1:11" ht="15" hidden="1" x14ac:dyDescent="0.25">
      <c r="A112" s="116"/>
      <c r="B112" s="95" t="s">
        <v>230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214">
        <v>0</v>
      </c>
      <c r="J112" s="89">
        <f t="shared" si="3"/>
        <v>0</v>
      </c>
      <c r="K112" s="249"/>
    </row>
    <row r="113" spans="1:11" ht="15" hidden="1" x14ac:dyDescent="0.25">
      <c r="A113" s="116"/>
      <c r="B113" s="95" t="s">
        <v>231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214">
        <v>0</v>
      </c>
      <c r="J113" s="89">
        <f t="shared" si="3"/>
        <v>0</v>
      </c>
      <c r="K113" s="249"/>
    </row>
    <row r="114" spans="1:11" ht="15" hidden="1" x14ac:dyDescent="0.25">
      <c r="A114" s="116"/>
      <c r="B114" s="95" t="s">
        <v>232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214">
        <v>0</v>
      </c>
      <c r="J114" s="89">
        <f t="shared" si="3"/>
        <v>0</v>
      </c>
      <c r="K114" s="249"/>
    </row>
    <row r="115" spans="1:11" ht="15" hidden="1" x14ac:dyDescent="0.25">
      <c r="A115" s="116"/>
      <c r="B115" s="95" t="s">
        <v>233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214">
        <v>0</v>
      </c>
      <c r="J115" s="89">
        <f t="shared" si="3"/>
        <v>0</v>
      </c>
      <c r="K115" s="249"/>
    </row>
    <row r="116" spans="1:11" ht="15" hidden="1" x14ac:dyDescent="0.25">
      <c r="A116" s="116"/>
      <c r="B116" s="95" t="s">
        <v>234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214">
        <v>0</v>
      </c>
      <c r="J116" s="89">
        <f t="shared" si="3"/>
        <v>0</v>
      </c>
      <c r="K116" s="249"/>
    </row>
    <row r="117" spans="1:11" ht="15" hidden="1" x14ac:dyDescent="0.25">
      <c r="A117" s="116"/>
      <c r="B117" s="95" t="s">
        <v>9</v>
      </c>
      <c r="C117" s="89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214">
        <v>0</v>
      </c>
      <c r="J117" s="89">
        <f t="shared" si="3"/>
        <v>0</v>
      </c>
      <c r="K117" s="249"/>
    </row>
    <row r="118" spans="1:11" ht="15" hidden="1" x14ac:dyDescent="0.25">
      <c r="A118" s="116"/>
      <c r="B118" s="95" t="s">
        <v>235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214">
        <v>0</v>
      </c>
      <c r="J118" s="89">
        <f t="shared" si="3"/>
        <v>0</v>
      </c>
      <c r="K118" s="249"/>
    </row>
    <row r="119" spans="1:11" ht="15" x14ac:dyDescent="0.25">
      <c r="A119" s="116"/>
      <c r="B119" s="95" t="s">
        <v>236</v>
      </c>
      <c r="C119" s="89"/>
      <c r="D119" s="89"/>
      <c r="E119" s="89"/>
      <c r="F119" s="89">
        <v>0</v>
      </c>
      <c r="G119" s="89">
        <v>0</v>
      </c>
      <c r="H119" s="89">
        <v>0</v>
      </c>
      <c r="I119" s="663">
        <v>1921308.91</v>
      </c>
      <c r="J119" s="664">
        <f t="shared" si="3"/>
        <v>1921308.91</v>
      </c>
      <c r="K119" s="219" t="s">
        <v>830</v>
      </c>
    </row>
    <row r="120" spans="1:11" ht="15" x14ac:dyDescent="0.25">
      <c r="A120" s="116"/>
      <c r="B120" s="95" t="s">
        <v>237</v>
      </c>
      <c r="C120" s="89">
        <f>938141.97-54285.27</f>
        <v>883856.7</v>
      </c>
      <c r="D120" s="89">
        <v>304297.28999999998</v>
      </c>
      <c r="E120" s="89">
        <f>64231.23-2200</f>
        <v>62031.23</v>
      </c>
      <c r="F120" s="89">
        <v>0</v>
      </c>
      <c r="G120" s="89">
        <v>0</v>
      </c>
      <c r="H120" s="89">
        <v>0</v>
      </c>
      <c r="I120" s="663">
        <f>54285.27+24000+2200</f>
        <v>80485.26999999999</v>
      </c>
      <c r="J120" s="664">
        <f t="shared" si="3"/>
        <v>1330670.49</v>
      </c>
      <c r="K120" s="219" t="s">
        <v>831</v>
      </c>
    </row>
    <row r="121" spans="1:11" ht="15" hidden="1" x14ac:dyDescent="0.25">
      <c r="A121" s="116"/>
      <c r="B121" s="95" t="s">
        <v>238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214">
        <v>0</v>
      </c>
      <c r="J121" s="89">
        <f t="shared" si="3"/>
        <v>0</v>
      </c>
      <c r="K121" s="249"/>
    </row>
    <row r="122" spans="1:11" ht="15" hidden="1" x14ac:dyDescent="0.25">
      <c r="A122" s="251"/>
      <c r="B122" s="100" t="s">
        <v>239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214">
        <v>0</v>
      </c>
      <c r="J122" s="89">
        <f t="shared" si="3"/>
        <v>0</v>
      </c>
      <c r="K122" s="249"/>
    </row>
    <row r="123" spans="1:11" ht="15" hidden="1" x14ac:dyDescent="0.25">
      <c r="A123" s="251"/>
      <c r="B123" s="100" t="s">
        <v>240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214">
        <v>0</v>
      </c>
      <c r="J123" s="89">
        <f t="shared" si="3"/>
        <v>0</v>
      </c>
      <c r="K123" s="249"/>
    </row>
    <row r="124" spans="1:11" ht="15" hidden="1" x14ac:dyDescent="0.25">
      <c r="A124" s="251"/>
      <c r="B124" s="100" t="s">
        <v>241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214">
        <v>0</v>
      </c>
      <c r="J124" s="89">
        <f t="shared" si="3"/>
        <v>0</v>
      </c>
      <c r="K124" s="249"/>
    </row>
    <row r="125" spans="1:11" ht="15" hidden="1" x14ac:dyDescent="0.25">
      <c r="A125" s="258"/>
      <c r="B125" s="244" t="s">
        <v>242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214">
        <v>0</v>
      </c>
      <c r="J125" s="89">
        <f t="shared" si="3"/>
        <v>0</v>
      </c>
      <c r="K125" s="249"/>
    </row>
    <row r="126" spans="1:11" ht="15" hidden="1" x14ac:dyDescent="0.25">
      <c r="A126" s="251"/>
      <c r="B126" s="100" t="s">
        <v>243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214">
        <v>0</v>
      </c>
      <c r="J126" s="89">
        <f t="shared" si="3"/>
        <v>0</v>
      </c>
      <c r="K126" s="249"/>
    </row>
    <row r="127" spans="1:11" ht="15" hidden="1" x14ac:dyDescent="0.25">
      <c r="A127" s="251"/>
      <c r="B127" s="100" t="s">
        <v>244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214">
        <v>0</v>
      </c>
      <c r="J127" s="89">
        <f t="shared" si="3"/>
        <v>0</v>
      </c>
      <c r="K127" s="249"/>
    </row>
    <row r="128" spans="1:11" ht="15" hidden="1" x14ac:dyDescent="0.25">
      <c r="A128" s="260" t="s">
        <v>245</v>
      </c>
      <c r="B128" s="317"/>
      <c r="C128" s="89"/>
      <c r="D128" s="89"/>
      <c r="E128" s="89"/>
      <c r="F128" s="89"/>
      <c r="G128" s="89"/>
      <c r="H128" s="89"/>
      <c r="I128" s="214"/>
      <c r="J128" s="89"/>
      <c r="K128" s="249"/>
    </row>
    <row r="129" spans="1:11" ht="15" hidden="1" x14ac:dyDescent="0.25">
      <c r="A129" s="116"/>
      <c r="B129" s="95" t="s">
        <v>246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214">
        <v>0</v>
      </c>
      <c r="J129" s="89">
        <f t="shared" si="3"/>
        <v>0</v>
      </c>
      <c r="K129" s="249"/>
    </row>
    <row r="130" spans="1:11" ht="15" x14ac:dyDescent="0.25">
      <c r="A130" s="251"/>
      <c r="B130" s="100" t="s">
        <v>247</v>
      </c>
      <c r="C130" s="89">
        <v>0</v>
      </c>
      <c r="D130" s="89">
        <v>0</v>
      </c>
      <c r="E130" s="89">
        <v>182064</v>
      </c>
      <c r="F130" s="89">
        <v>0</v>
      </c>
      <c r="G130" s="89">
        <v>0</v>
      </c>
      <c r="H130" s="89">
        <v>0</v>
      </c>
      <c r="I130" s="214">
        <f>475085-182064</f>
        <v>293021</v>
      </c>
      <c r="J130" s="664">
        <f t="shared" si="3"/>
        <v>475085</v>
      </c>
      <c r="K130" s="252"/>
    </row>
    <row r="131" spans="1:11" hidden="1" x14ac:dyDescent="0.2">
      <c r="A131" s="116"/>
      <c r="B131" s="95" t="s">
        <v>248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214">
        <v>0</v>
      </c>
      <c r="J131" s="89">
        <f t="shared" si="3"/>
        <v>0</v>
      </c>
      <c r="K131" s="252"/>
    </row>
    <row r="132" spans="1:11" hidden="1" x14ac:dyDescent="0.2">
      <c r="A132" s="116"/>
      <c r="B132" s="95" t="s">
        <v>249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214">
        <v>0</v>
      </c>
      <c r="J132" s="89">
        <f t="shared" ref="J132:J147" si="4">SUM(C132:I132)</f>
        <v>0</v>
      </c>
      <c r="K132" s="252"/>
    </row>
    <row r="133" spans="1:11" hidden="1" x14ac:dyDescent="0.2">
      <c r="A133" s="116"/>
      <c r="B133" s="95" t="s">
        <v>250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214">
        <v>0</v>
      </c>
      <c r="J133" s="89">
        <f t="shared" si="4"/>
        <v>0</v>
      </c>
      <c r="K133" s="92"/>
    </row>
    <row r="134" spans="1:11" hidden="1" x14ac:dyDescent="0.2">
      <c r="A134" s="116"/>
      <c r="B134" s="95" t="s">
        <v>251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214">
        <v>0</v>
      </c>
      <c r="J134" s="89">
        <f t="shared" si="4"/>
        <v>0</v>
      </c>
      <c r="K134" s="92"/>
    </row>
    <row r="135" spans="1:11" hidden="1" x14ac:dyDescent="0.2">
      <c r="A135" s="116"/>
      <c r="B135" s="95" t="s">
        <v>252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214">
        <v>0</v>
      </c>
      <c r="J135" s="89">
        <f t="shared" si="4"/>
        <v>0</v>
      </c>
      <c r="K135" s="92"/>
    </row>
    <row r="136" spans="1:11" hidden="1" x14ac:dyDescent="0.2">
      <c r="A136" s="116"/>
      <c r="B136" s="95" t="s">
        <v>253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214">
        <v>0</v>
      </c>
      <c r="J136" s="89">
        <f t="shared" si="4"/>
        <v>0</v>
      </c>
      <c r="K136" s="92"/>
    </row>
    <row r="137" spans="1:11" hidden="1" x14ac:dyDescent="0.2">
      <c r="A137" s="116"/>
      <c r="B137" s="95" t="s">
        <v>254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214">
        <v>0</v>
      </c>
      <c r="J137" s="89">
        <f t="shared" si="4"/>
        <v>0</v>
      </c>
      <c r="K137" s="92"/>
    </row>
    <row r="138" spans="1:11" hidden="1" x14ac:dyDescent="0.2">
      <c r="A138" s="116"/>
      <c r="B138" s="95" t="s">
        <v>255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214">
        <v>0</v>
      </c>
      <c r="J138" s="89">
        <f t="shared" si="4"/>
        <v>0</v>
      </c>
      <c r="K138" s="92"/>
    </row>
    <row r="139" spans="1:11" hidden="1" x14ac:dyDescent="0.2">
      <c r="A139" s="116"/>
      <c r="B139" s="95" t="s">
        <v>256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214">
        <v>0</v>
      </c>
      <c r="J139" s="89">
        <f t="shared" si="4"/>
        <v>0</v>
      </c>
      <c r="K139" s="92"/>
    </row>
    <row r="140" spans="1:11" hidden="1" x14ac:dyDescent="0.2">
      <c r="A140" s="116"/>
      <c r="B140" s="95" t="s">
        <v>257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214">
        <v>0</v>
      </c>
      <c r="J140" s="89">
        <f t="shared" si="4"/>
        <v>0</v>
      </c>
      <c r="K140" s="92"/>
    </row>
    <row r="141" spans="1:11" hidden="1" x14ac:dyDescent="0.2">
      <c r="A141" s="116"/>
      <c r="B141" s="95" t="s">
        <v>258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214">
        <v>0</v>
      </c>
      <c r="J141" s="89">
        <f t="shared" si="4"/>
        <v>0</v>
      </c>
      <c r="K141" s="92"/>
    </row>
    <row r="142" spans="1:11" hidden="1" x14ac:dyDescent="0.2">
      <c r="A142" s="116"/>
      <c r="B142" s="95" t="s">
        <v>259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214">
        <v>0</v>
      </c>
      <c r="J142" s="89">
        <f t="shared" si="4"/>
        <v>0</v>
      </c>
      <c r="K142" s="92"/>
    </row>
    <row r="143" spans="1:11" hidden="1" x14ac:dyDescent="0.2">
      <c r="A143" s="116"/>
      <c r="B143" s="95" t="s">
        <v>260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214">
        <v>0</v>
      </c>
      <c r="J143" s="89">
        <f t="shared" si="4"/>
        <v>0</v>
      </c>
      <c r="K143" s="92"/>
    </row>
    <row r="144" spans="1:11" ht="15.75" thickBot="1" x14ac:dyDescent="0.3">
      <c r="A144" s="261" t="s">
        <v>456</v>
      </c>
      <c r="B144" s="262"/>
      <c r="C144" s="263">
        <f>SUM(C55:C143)</f>
        <v>1886259.83</v>
      </c>
      <c r="D144" s="263">
        <f t="shared" ref="D144:H144" si="5">SUM(D55:D143)</f>
        <v>680645.37999999989</v>
      </c>
      <c r="E144" s="263">
        <f t="shared" si="5"/>
        <v>341546.74</v>
      </c>
      <c r="F144" s="263">
        <f t="shared" si="5"/>
        <v>0</v>
      </c>
      <c r="G144" s="263">
        <f t="shared" si="5"/>
        <v>0</v>
      </c>
      <c r="H144" s="263">
        <f t="shared" si="5"/>
        <v>0</v>
      </c>
      <c r="I144" s="264">
        <f>SUM(I55:I143)</f>
        <v>7507441.1799999997</v>
      </c>
      <c r="J144" s="265">
        <f>SUM(C144:I144)</f>
        <v>10415893.129999999</v>
      </c>
      <c r="K144" s="266"/>
    </row>
    <row r="145" spans="1:10" ht="18.75" customHeight="1" thickBot="1" x14ac:dyDescent="0.3">
      <c r="A145" s="245" t="s">
        <v>457</v>
      </c>
      <c r="B145" s="246"/>
      <c r="C145" s="247">
        <f>C54+C144</f>
        <v>7524496.8300000001</v>
      </c>
      <c r="D145" s="247">
        <f t="shared" ref="D145:I145" si="6">D54+D144</f>
        <v>3383706.38</v>
      </c>
      <c r="E145" s="247">
        <f t="shared" si="6"/>
        <v>4082796.74</v>
      </c>
      <c r="F145" s="247">
        <f t="shared" si="6"/>
        <v>182064</v>
      </c>
      <c r="G145" s="247">
        <f t="shared" si="6"/>
        <v>0</v>
      </c>
      <c r="H145" s="247">
        <f t="shared" si="6"/>
        <v>0</v>
      </c>
      <c r="I145" s="248">
        <f t="shared" si="6"/>
        <v>16053705.18</v>
      </c>
      <c r="J145" s="236">
        <f t="shared" si="4"/>
        <v>31226769.130000003</v>
      </c>
    </row>
    <row r="146" spans="1:10" ht="19.5" customHeight="1" x14ac:dyDescent="0.25">
      <c r="A146" s="267" t="s">
        <v>108</v>
      </c>
      <c r="B146" s="268" t="s">
        <v>458</v>
      </c>
      <c r="C146" s="269">
        <v>0</v>
      </c>
      <c r="D146" s="269">
        <v>0</v>
      </c>
      <c r="E146" s="269">
        <v>0</v>
      </c>
      <c r="F146" s="269">
        <v>-1433064.27</v>
      </c>
      <c r="G146" s="269">
        <v>0</v>
      </c>
      <c r="H146" s="269">
        <v>0</v>
      </c>
      <c r="I146" s="270">
        <v>0</v>
      </c>
      <c r="J146" s="144">
        <f t="shared" si="4"/>
        <v>-1433064.27</v>
      </c>
    </row>
    <row r="147" spans="1:10" ht="21.75" customHeight="1" thickBot="1" x14ac:dyDescent="0.3">
      <c r="A147" s="271" t="s">
        <v>459</v>
      </c>
      <c r="B147" s="103"/>
      <c r="C147" s="272">
        <f>C145+C146</f>
        <v>7524496.8300000001</v>
      </c>
      <c r="D147" s="272">
        <f t="shared" ref="D147:I147" si="7">D145+D146</f>
        <v>3383706.38</v>
      </c>
      <c r="E147" s="272">
        <f t="shared" si="7"/>
        <v>4082796.74</v>
      </c>
      <c r="F147" s="272">
        <f t="shared" si="7"/>
        <v>-1251000.27</v>
      </c>
      <c r="G147" s="272">
        <f t="shared" si="7"/>
        <v>0</v>
      </c>
      <c r="H147" s="272">
        <f t="shared" si="7"/>
        <v>0</v>
      </c>
      <c r="I147" s="272">
        <f t="shared" si="7"/>
        <v>16053705.18</v>
      </c>
      <c r="J147" s="272">
        <f t="shared" si="4"/>
        <v>29793704.859999999</v>
      </c>
    </row>
    <row r="148" spans="1:10" ht="15" thickTop="1" x14ac:dyDescent="0.2">
      <c r="A148" s="273"/>
      <c r="B148" s="190"/>
      <c r="C148" s="274"/>
      <c r="D148" s="274"/>
      <c r="E148" s="274"/>
      <c r="F148" s="274"/>
      <c r="G148" s="274"/>
      <c r="H148" s="274"/>
      <c r="I148" s="274"/>
      <c r="J148" s="274"/>
    </row>
    <row r="149" spans="1:10" x14ac:dyDescent="0.2">
      <c r="A149" s="275"/>
      <c r="B149" s="191" t="str">
        <f>'PCFP - All Revenue AA-1 R-17'!C85</f>
        <v>White Pine County School District</v>
      </c>
      <c r="C149" s="274" t="s">
        <v>428</v>
      </c>
      <c r="D149" s="274"/>
      <c r="E149" s="276"/>
      <c r="F149" s="276"/>
      <c r="G149" s="276"/>
      <c r="H149" s="274"/>
      <c r="J149" s="278" t="str">
        <f>"Budget Fiscal Year "&amp;TEXT('[17]Form 1'!$C$136, "mm/dd/yy")</f>
        <v>Budget Fiscal Year 2019-2020</v>
      </c>
    </row>
    <row r="150" spans="1:10" x14ac:dyDescent="0.2">
      <c r="A150" s="279"/>
      <c r="B150" s="193" t="s">
        <v>460</v>
      </c>
      <c r="C150" s="274" t="s">
        <v>430</v>
      </c>
      <c r="D150" s="274"/>
      <c r="E150" s="274"/>
      <c r="F150" s="274"/>
      <c r="G150" s="274"/>
      <c r="H150" s="274"/>
      <c r="J150" s="280" t="s">
        <v>461</v>
      </c>
    </row>
    <row r="151" spans="1:10" x14ac:dyDescent="0.2">
      <c r="H151" s="280"/>
      <c r="I151" s="280"/>
      <c r="J151" s="191"/>
    </row>
  </sheetData>
  <pageMargins left="0.55000000000000004" right="0" top="0.5" bottom="0.25" header="0.5" footer="0"/>
  <pageSetup scale="48" fitToHeight="3" orientation="landscape" r:id="rId1"/>
  <headerFooter alignWithMargins="0">
    <oddFooter>&amp;C&amp;8FORM 4405LGF
Last Revised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46E5-864A-4445-A546-85C6541E7ECB}">
  <dimension ref="A1:G161"/>
  <sheetViews>
    <sheetView showGridLines="0" showWhiteSpace="0" zoomScaleNormal="100" workbookViewId="0">
      <selection activeCell="D170" sqref="D170"/>
    </sheetView>
  </sheetViews>
  <sheetFormatPr defaultRowHeight="12.75" x14ac:dyDescent="0.2"/>
  <cols>
    <col min="1" max="1" width="7.42578125" style="2" bestFit="1" customWidth="1"/>
    <col min="2" max="2" width="41.140625" bestFit="1" customWidth="1"/>
    <col min="3" max="3" width="21" style="12" bestFit="1" customWidth="1"/>
    <col min="4" max="4" width="18.42578125" style="12" bestFit="1" customWidth="1"/>
    <col min="5" max="5" width="20.28515625" customWidth="1"/>
    <col min="6" max="6" width="15" bestFit="1" customWidth="1"/>
    <col min="7" max="7" width="16.5703125" bestFit="1" customWidth="1"/>
  </cols>
  <sheetData>
    <row r="1" spans="1:7" s="7" customFormat="1" ht="15.75" x14ac:dyDescent="0.25">
      <c r="A1" s="5"/>
      <c r="B1" s="281" t="s">
        <v>261</v>
      </c>
      <c r="C1" s="282" t="s">
        <v>464</v>
      </c>
      <c r="D1" s="283" t="s">
        <v>119</v>
      </c>
    </row>
    <row r="2" spans="1:7" s="15" customFormat="1" ht="38.25" x14ac:dyDescent="0.2">
      <c r="A2" s="13"/>
      <c r="B2" s="13" t="s">
        <v>120</v>
      </c>
      <c r="C2" s="14" t="s">
        <v>465</v>
      </c>
      <c r="D2" s="14" t="s">
        <v>466</v>
      </c>
      <c r="E2" s="14" t="s">
        <v>123</v>
      </c>
    </row>
    <row r="3" spans="1:7" x14ac:dyDescent="0.2">
      <c r="B3" s="3"/>
    </row>
    <row r="4" spans="1:7" x14ac:dyDescent="0.2">
      <c r="B4" s="16" t="s">
        <v>124</v>
      </c>
      <c r="C4" s="12">
        <f>'19_20 District Budget Summary-2'!P25</f>
        <v>19598431</v>
      </c>
      <c r="D4" s="12">
        <f>SUM('PCFP - All Revenue AA-1 R-2'!F33,'PCFP - All Revenue AA-1 R-2'!H33)</f>
        <v>6355293</v>
      </c>
      <c r="E4" s="17">
        <f>D4-C4</f>
        <v>-13243138</v>
      </c>
    </row>
    <row r="5" spans="1:7" x14ac:dyDescent="0.2">
      <c r="E5" s="17"/>
    </row>
    <row r="6" spans="1:7" x14ac:dyDescent="0.2">
      <c r="B6" s="16" t="s">
        <v>125</v>
      </c>
      <c r="C6" s="12">
        <f>'19_20 District Budget Summary-2'!P37</f>
        <v>20810572</v>
      </c>
      <c r="D6" s="12">
        <f>SUM('PCFP - All Revenue AA-1 R-2'!F49,'PCFP - All Revenue AA-1 R-2'!H49)</f>
        <v>33502502.879653946</v>
      </c>
      <c r="E6" s="17">
        <f>D6-C6</f>
        <v>12691930.879653946</v>
      </c>
    </row>
    <row r="7" spans="1:7" x14ac:dyDescent="0.2">
      <c r="E7" s="17"/>
    </row>
    <row r="8" spans="1:7" x14ac:dyDescent="0.2">
      <c r="B8" s="16" t="s">
        <v>126</v>
      </c>
      <c r="C8" s="12">
        <f>'19_20 District Budget Summary-2'!P45</f>
        <v>4206131</v>
      </c>
      <c r="D8" s="12">
        <f>SUM('PCFP - All Revenue AA-1 R-2'!F57,'PCFP - All Revenue AA-1 R-2'!H57)</f>
        <v>4206131</v>
      </c>
      <c r="E8" s="17">
        <f>D8-C8</f>
        <v>0</v>
      </c>
    </row>
    <row r="9" spans="1:7" x14ac:dyDescent="0.2">
      <c r="E9" s="17"/>
    </row>
    <row r="10" spans="1:7" x14ac:dyDescent="0.2">
      <c r="B10" s="16" t="s">
        <v>127</v>
      </c>
      <c r="C10" s="12">
        <f>'19_20 District Budget Summary-2'!P51</f>
        <v>5000</v>
      </c>
      <c r="D10" s="12">
        <v>5000</v>
      </c>
      <c r="E10" s="17">
        <f>D10-C10</f>
        <v>0</v>
      </c>
    </row>
    <row r="11" spans="1:7" x14ac:dyDescent="0.2">
      <c r="E11" s="17"/>
    </row>
    <row r="12" spans="1:7" s="2" customFormat="1" x14ac:dyDescent="0.2">
      <c r="B12" s="18" t="s">
        <v>128</v>
      </c>
      <c r="C12" s="19">
        <f>SUM(C4:C11)</f>
        <v>44620134</v>
      </c>
      <c r="D12" s="19">
        <f>SUM(D4:D11)</f>
        <v>44068926.879653946</v>
      </c>
      <c r="E12" s="20">
        <f>D12-C12</f>
        <v>-551207.12034605443</v>
      </c>
    </row>
    <row r="14" spans="1:7" x14ac:dyDescent="0.2">
      <c r="B14" s="16" t="s">
        <v>129</v>
      </c>
      <c r="C14" s="12">
        <f>'19_20 District Budget Summary-2'!P59</f>
        <v>8648819</v>
      </c>
      <c r="D14" s="12">
        <f>SUM('PCFP - All Revenue AA-1 R-2'!F71,'PCFP - All Revenue AA-1 R-2'!H71)</f>
        <v>8648819</v>
      </c>
      <c r="E14" s="21">
        <f>D14-C14</f>
        <v>0</v>
      </c>
    </row>
    <row r="16" spans="1:7" x14ac:dyDescent="0.2">
      <c r="A16" s="22"/>
      <c r="B16" s="23" t="s">
        <v>306</v>
      </c>
      <c r="C16" s="24">
        <f>SUM(C12:C14)</f>
        <v>53268953</v>
      </c>
      <c r="D16" s="24">
        <f>SUM(D12:D14)</f>
        <v>52717745.879653946</v>
      </c>
      <c r="E16" s="25">
        <f>D16-C16</f>
        <v>-551207.12034605443</v>
      </c>
      <c r="F16" s="284"/>
      <c r="G16" s="17"/>
    </row>
    <row r="17" spans="1:5" s="2" customFormat="1" x14ac:dyDescent="0.2">
      <c r="A17" s="27"/>
      <c r="B17" s="28" t="s">
        <v>131</v>
      </c>
      <c r="C17" s="285">
        <f>SUM(C20,C37,C70,C72)</f>
        <v>53268953</v>
      </c>
      <c r="D17" s="285">
        <f>SUM(D20,D37,D70,D72)</f>
        <v>53268953</v>
      </c>
      <c r="E17" s="29">
        <f>D17-C17</f>
        <v>0</v>
      </c>
    </row>
    <row r="18" spans="1:5" x14ac:dyDescent="0.2">
      <c r="A18" s="30"/>
      <c r="B18" s="286" t="s">
        <v>467</v>
      </c>
      <c r="C18" s="287">
        <f t="shared" ref="C18" si="0">C16-C17</f>
        <v>0</v>
      </c>
      <c r="D18" s="287">
        <f>D16-D17</f>
        <v>-551207.12034605443</v>
      </c>
      <c r="E18" s="29">
        <f>D18-C18</f>
        <v>-551207.12034605443</v>
      </c>
    </row>
    <row r="20" spans="1:5" x14ac:dyDescent="0.2">
      <c r="B20" s="3" t="s">
        <v>468</v>
      </c>
      <c r="C20" s="21">
        <f>SUM(C21:C35)</f>
        <v>22304797</v>
      </c>
      <c r="D20" s="21">
        <f>SUM(D21:D35)</f>
        <v>14059910</v>
      </c>
      <c r="E20" s="21"/>
    </row>
    <row r="21" spans="1:5" hidden="1" x14ac:dyDescent="0.2">
      <c r="A21" s="2">
        <v>100</v>
      </c>
      <c r="B21" s="3" t="s">
        <v>134</v>
      </c>
      <c r="C21" s="21">
        <f>'19_20 District Budget Summary-2'!P66</f>
        <v>14768740</v>
      </c>
      <c r="D21" s="21">
        <f>'PCFP-All Expense AA-1 Modifd-2'!J6</f>
        <v>12542927</v>
      </c>
      <c r="E21" s="288"/>
    </row>
    <row r="22" spans="1:5" hidden="1" x14ac:dyDescent="0.2">
      <c r="A22" s="2">
        <v>200</v>
      </c>
      <c r="B22" s="3" t="s">
        <v>135</v>
      </c>
      <c r="C22" s="21">
        <f>'19_20 District Budget Summary-2'!P67</f>
        <v>4783489</v>
      </c>
      <c r="D22" s="21">
        <f>'PCFP-All Expense AA-1 Modifd-2'!J7</f>
        <v>0</v>
      </c>
      <c r="E22" s="288"/>
    </row>
    <row r="23" spans="1:5" hidden="1" x14ac:dyDescent="0.2">
      <c r="A23" s="2" t="s">
        <v>10</v>
      </c>
      <c r="B23" s="3" t="s">
        <v>136</v>
      </c>
      <c r="C23" s="21">
        <f>'19_20 District Budget Summary-2'!P68</f>
        <v>0</v>
      </c>
      <c r="D23" s="21">
        <f>'PCFP-All Expense AA-1 Modifd-2'!J8</f>
        <v>0</v>
      </c>
      <c r="E23" s="288"/>
    </row>
    <row r="24" spans="1:5" hidden="1" x14ac:dyDescent="0.2">
      <c r="A24" s="2">
        <v>270</v>
      </c>
      <c r="B24" s="3" t="s">
        <v>137</v>
      </c>
      <c r="C24" s="21">
        <f>'19_20 District Budget Summary-2'!P69</f>
        <v>0</v>
      </c>
      <c r="D24" s="21">
        <f>'PCFP-All Expense AA-1 Modifd-2'!J9</f>
        <v>0</v>
      </c>
      <c r="E24" s="288"/>
    </row>
    <row r="25" spans="1:5" hidden="1" x14ac:dyDescent="0.2">
      <c r="A25" s="2" t="s">
        <v>10</v>
      </c>
      <c r="B25" s="3" t="s">
        <v>138</v>
      </c>
      <c r="C25" s="21">
        <f>'19_20 District Budget Summary-2'!P70</f>
        <v>0</v>
      </c>
      <c r="D25" s="21">
        <f>'PCFP-All Expense AA-1 Modifd-2'!J10</f>
        <v>0</v>
      </c>
      <c r="E25" s="288"/>
    </row>
    <row r="26" spans="1:5" hidden="1" x14ac:dyDescent="0.2">
      <c r="A26" s="2">
        <v>300</v>
      </c>
      <c r="B26" s="3" t="s">
        <v>139</v>
      </c>
      <c r="C26" s="21">
        <f>'19_20 District Budget Summary-2'!P71</f>
        <v>1426986</v>
      </c>
      <c r="D26" s="21">
        <f>'PCFP-All Expense AA-1 Modifd-2'!J11</f>
        <v>645008</v>
      </c>
      <c r="E26" s="288"/>
    </row>
    <row r="27" spans="1:5" hidden="1" x14ac:dyDescent="0.2">
      <c r="A27" s="2">
        <v>400</v>
      </c>
      <c r="B27" s="3" t="s">
        <v>140</v>
      </c>
      <c r="C27" s="21">
        <f>'19_20 District Budget Summary-2'!P72</f>
        <v>410677</v>
      </c>
      <c r="D27" s="21">
        <f>'PCFP-All Expense AA-1 Modifd-2'!J12</f>
        <v>244011</v>
      </c>
      <c r="E27" s="288"/>
    </row>
    <row r="28" spans="1:5" hidden="1" x14ac:dyDescent="0.2">
      <c r="A28" s="2" t="s">
        <v>10</v>
      </c>
      <c r="B28" s="3" t="s">
        <v>141</v>
      </c>
      <c r="C28" s="21">
        <f>'19_20 District Budget Summary-2'!P73</f>
        <v>0</v>
      </c>
      <c r="D28" s="21">
        <f>'PCFP-All Expense AA-1 Modifd-2'!J13</f>
        <v>0</v>
      </c>
      <c r="E28" s="288"/>
    </row>
    <row r="29" spans="1:5" hidden="1" x14ac:dyDescent="0.2">
      <c r="A29" s="2" t="s">
        <v>10</v>
      </c>
      <c r="B29" s="3" t="s">
        <v>142</v>
      </c>
      <c r="C29" s="21">
        <f>'19_20 District Budget Summary-2'!P74</f>
        <v>0</v>
      </c>
      <c r="D29" s="21">
        <f>'PCFP-All Expense AA-1 Modifd-2'!J14</f>
        <v>0</v>
      </c>
      <c r="E29" s="288"/>
    </row>
    <row r="30" spans="1:5" hidden="1" x14ac:dyDescent="0.2">
      <c r="A30" s="2">
        <v>440</v>
      </c>
      <c r="B30" s="3" t="s">
        <v>143</v>
      </c>
      <c r="C30" s="21">
        <f>'19_20 District Budget Summary-2'!P75</f>
        <v>40618</v>
      </c>
      <c r="D30" s="21">
        <f>'PCFP-All Expense AA-1 Modifd-2'!J15</f>
        <v>9060</v>
      </c>
      <c r="E30" s="288"/>
    </row>
    <row r="31" spans="1:5" hidden="1" x14ac:dyDescent="0.2">
      <c r="A31" s="2">
        <v>500</v>
      </c>
      <c r="B31" s="3" t="s">
        <v>144</v>
      </c>
      <c r="C31" s="21">
        <f>'19_20 District Budget Summary-2'!P76</f>
        <v>0</v>
      </c>
      <c r="D31" s="21">
        <f>'PCFP-All Expense AA-1 Modifd-2'!J16</f>
        <v>0</v>
      </c>
      <c r="E31" s="288"/>
    </row>
    <row r="32" spans="1:5" hidden="1" x14ac:dyDescent="0.2">
      <c r="A32" s="2">
        <v>600</v>
      </c>
      <c r="B32" s="3" t="s">
        <v>145</v>
      </c>
      <c r="C32" s="21">
        <f>'19_20 District Budget Summary-2'!P77</f>
        <v>125277</v>
      </c>
      <c r="D32" s="21">
        <f>'PCFP-All Expense AA-1 Modifd-2'!J17</f>
        <v>0</v>
      </c>
      <c r="E32" s="288"/>
    </row>
    <row r="33" spans="1:5" hidden="1" x14ac:dyDescent="0.2">
      <c r="A33" s="2">
        <v>800</v>
      </c>
      <c r="B33" s="3" t="s">
        <v>146</v>
      </c>
      <c r="C33" s="21">
        <f>'19_20 District Budget Summary-2'!P78</f>
        <v>145290</v>
      </c>
      <c r="D33" s="21">
        <f>'PCFP-All Expense AA-1 Modifd-2'!J18</f>
        <v>15184</v>
      </c>
      <c r="E33" s="288"/>
    </row>
    <row r="34" spans="1:5" hidden="1" x14ac:dyDescent="0.2">
      <c r="A34" s="2">
        <v>910</v>
      </c>
      <c r="B34" s="3" t="s">
        <v>147</v>
      </c>
      <c r="C34" s="21">
        <f>'19_20 District Budget Summary-2'!P79</f>
        <v>82594</v>
      </c>
      <c r="D34" s="21">
        <f>'PCFP-All Expense AA-1 Modifd-2'!J19</f>
        <v>82594</v>
      </c>
      <c r="E34" s="288"/>
    </row>
    <row r="35" spans="1:5" hidden="1" x14ac:dyDescent="0.2">
      <c r="A35" s="2">
        <v>920</v>
      </c>
      <c r="B35" s="3" t="s">
        <v>148</v>
      </c>
      <c r="C35" s="21">
        <f>'19_20 District Budget Summary-2'!P80</f>
        <v>521126</v>
      </c>
      <c r="D35" s="21">
        <f>'PCFP-All Expense AA-1 Modifd-2'!J20</f>
        <v>521126</v>
      </c>
      <c r="E35" s="288"/>
    </row>
    <row r="36" spans="1:5" x14ac:dyDescent="0.2">
      <c r="B36" s="3"/>
      <c r="C36" s="21"/>
      <c r="D36" s="21"/>
      <c r="E36" s="288"/>
    </row>
    <row r="37" spans="1:5" s="2" customFormat="1" x14ac:dyDescent="0.2">
      <c r="A37" s="18"/>
      <c r="B37" s="3" t="s">
        <v>150</v>
      </c>
      <c r="C37" s="21">
        <f>SUM(C38:C68)</f>
        <v>34539156</v>
      </c>
      <c r="D37" s="21">
        <f>SUM(D38:D68)</f>
        <v>15894851</v>
      </c>
      <c r="E37" s="21"/>
    </row>
    <row r="38" spans="1:5" hidden="1" x14ac:dyDescent="0.2">
      <c r="A38" s="2" t="s">
        <v>443</v>
      </c>
      <c r="B38" s="3" t="s">
        <v>444</v>
      </c>
      <c r="C38" s="21">
        <f>'19_20 District Budget Summary-2'!P83</f>
        <v>0</v>
      </c>
      <c r="D38" s="21">
        <v>0</v>
      </c>
      <c r="E38" s="288"/>
    </row>
    <row r="39" spans="1:5" hidden="1" x14ac:dyDescent="0.2">
      <c r="A39" s="2">
        <v>2100</v>
      </c>
      <c r="B39" s="3" t="s">
        <v>151</v>
      </c>
      <c r="C39" s="21">
        <f>'19_20 District Budget Summary-2'!P84</f>
        <v>2667734</v>
      </c>
      <c r="D39" s="21">
        <f>'PCFP-All Expense AA-1 Modifd-2'!J24</f>
        <v>878754</v>
      </c>
      <c r="E39" s="288"/>
    </row>
    <row r="40" spans="1:5" hidden="1" x14ac:dyDescent="0.2">
      <c r="A40" s="2">
        <v>2200</v>
      </c>
      <c r="B40" s="3" t="s">
        <v>152</v>
      </c>
      <c r="C40" s="21">
        <f>'19_20 District Budget Summary-2'!P85</f>
        <v>2018233</v>
      </c>
      <c r="D40" s="21">
        <f>'PCFP-All Expense AA-1 Modifd-2'!J25</f>
        <v>635984</v>
      </c>
      <c r="E40" s="288"/>
    </row>
    <row r="41" spans="1:5" hidden="1" x14ac:dyDescent="0.2">
      <c r="A41" s="2">
        <v>2300</v>
      </c>
      <c r="B41" s="3" t="s">
        <v>153</v>
      </c>
      <c r="C41" s="21">
        <f>'19_20 District Budget Summary-2'!P86</f>
        <v>760571</v>
      </c>
      <c r="D41" s="21">
        <f>'PCFP-All Expense AA-1 Modifd-2'!J26</f>
        <v>738522</v>
      </c>
      <c r="E41" s="288"/>
    </row>
    <row r="42" spans="1:5" hidden="1" x14ac:dyDescent="0.2">
      <c r="A42" s="2">
        <v>2400</v>
      </c>
      <c r="B42" s="3" t="s">
        <v>154</v>
      </c>
      <c r="C42" s="21">
        <f>'19_20 District Budget Summary-2'!P87</f>
        <v>2128100</v>
      </c>
      <c r="D42" s="21">
        <f>'PCFP-All Expense AA-1 Modifd-2'!J27</f>
        <v>2108969</v>
      </c>
      <c r="E42" s="288"/>
    </row>
    <row r="43" spans="1:5" hidden="1" x14ac:dyDescent="0.2">
      <c r="A43" s="2">
        <v>2500</v>
      </c>
      <c r="B43" s="3" t="s">
        <v>155</v>
      </c>
      <c r="C43" s="21">
        <f>'19_20 District Budget Summary-2'!P88</f>
        <v>2463901</v>
      </c>
      <c r="D43" s="21">
        <f>'PCFP-All Expense AA-1 Modifd-2'!J28</f>
        <v>2129800</v>
      </c>
      <c r="E43" s="288"/>
    </row>
    <row r="44" spans="1:5" hidden="1" x14ac:dyDescent="0.2">
      <c r="A44" s="2">
        <v>2600</v>
      </c>
      <c r="B44" s="3" t="s">
        <v>156</v>
      </c>
      <c r="C44" s="21">
        <f>'19_20 District Budget Summary-2'!P89</f>
        <v>5441307</v>
      </c>
      <c r="D44" s="21">
        <f>'PCFP-All Expense AA-1 Modifd-2'!J29</f>
        <v>3886780</v>
      </c>
      <c r="E44" s="288"/>
    </row>
    <row r="45" spans="1:5" hidden="1" x14ac:dyDescent="0.2">
      <c r="A45" s="2">
        <v>2700</v>
      </c>
      <c r="B45" s="3" t="s">
        <v>157</v>
      </c>
      <c r="C45" s="21">
        <f>'19_20 District Budget Summary-2'!P90</f>
        <v>1546248</v>
      </c>
      <c r="D45" s="21">
        <f>'PCFP-All Expense AA-1 Modifd-2'!J30</f>
        <v>1434317</v>
      </c>
      <c r="E45" s="288"/>
    </row>
    <row r="46" spans="1:5" hidden="1" x14ac:dyDescent="0.2">
      <c r="A46" s="2">
        <v>2900</v>
      </c>
      <c r="B46" s="3" t="s">
        <v>158</v>
      </c>
      <c r="C46" s="21">
        <f>'19_20 District Budget Summary-2'!P91</f>
        <v>0</v>
      </c>
      <c r="D46" s="21">
        <f>'PCFP-All Expense AA-1 Modifd-2'!J31</f>
        <v>0</v>
      </c>
      <c r="E46" s="288"/>
    </row>
    <row r="47" spans="1:5" hidden="1" x14ac:dyDescent="0.2">
      <c r="A47" s="2">
        <v>3000</v>
      </c>
      <c r="B47" s="3" t="s">
        <v>159</v>
      </c>
      <c r="C47" s="21">
        <f>'19_20 District Budget Summary-2'!P92</f>
        <v>0</v>
      </c>
      <c r="D47" s="21">
        <f>'PCFP-All Expense AA-1 Modifd-2'!J32</f>
        <v>0</v>
      </c>
      <c r="E47" s="288"/>
    </row>
    <row r="48" spans="1:5" hidden="1" x14ac:dyDescent="0.2">
      <c r="A48" s="2">
        <v>3100</v>
      </c>
      <c r="B48" s="3" t="s">
        <v>160</v>
      </c>
      <c r="C48" s="21">
        <f>'19_20 District Budget Summary-2'!P93</f>
        <v>1427324</v>
      </c>
      <c r="D48" s="21">
        <f>'PCFP-All Expense AA-1 Modifd-2'!J33</f>
        <v>0</v>
      </c>
      <c r="E48" s="288"/>
    </row>
    <row r="49" spans="1:5" hidden="1" x14ac:dyDescent="0.2">
      <c r="A49" s="2">
        <v>3200</v>
      </c>
      <c r="B49" s="3" t="s">
        <v>161</v>
      </c>
      <c r="C49" s="21">
        <f>'19_20 District Budget Summary-2'!P94</f>
        <v>0</v>
      </c>
      <c r="D49" s="21">
        <f>'PCFP-All Expense AA-1 Modifd-2'!J34</f>
        <v>0</v>
      </c>
      <c r="E49" s="288"/>
    </row>
    <row r="50" spans="1:5" hidden="1" x14ac:dyDescent="0.2">
      <c r="A50" s="2">
        <v>3300</v>
      </c>
      <c r="B50" s="3" t="s">
        <v>162</v>
      </c>
      <c r="C50" s="21">
        <f>'19_20 District Budget Summary-2'!P95</f>
        <v>0</v>
      </c>
      <c r="D50" s="21">
        <f>'PCFP-All Expense AA-1 Modifd-2'!J35</f>
        <v>0</v>
      </c>
      <c r="E50" s="288"/>
    </row>
    <row r="51" spans="1:5" hidden="1" x14ac:dyDescent="0.2">
      <c r="A51" s="2">
        <v>4100</v>
      </c>
      <c r="B51" s="3" t="s">
        <v>163</v>
      </c>
      <c r="C51" s="21">
        <f>'19_20 District Budget Summary-2'!P96</f>
        <v>0</v>
      </c>
      <c r="D51" s="21">
        <f>'PCFP-All Expense AA-1 Modifd-2'!J36</f>
        <v>0</v>
      </c>
      <c r="E51" s="288"/>
    </row>
    <row r="52" spans="1:5" hidden="1" x14ac:dyDescent="0.2">
      <c r="A52" s="2">
        <v>4000</v>
      </c>
      <c r="B52" s="3" t="s">
        <v>164</v>
      </c>
      <c r="C52" s="21">
        <f>'19_20 District Budget Summary-2'!P97</f>
        <v>0</v>
      </c>
      <c r="D52" s="21">
        <f>'PCFP-All Expense AA-1 Modifd-2'!J37</f>
        <v>0</v>
      </c>
      <c r="E52" s="288"/>
    </row>
    <row r="53" spans="1:5" hidden="1" x14ac:dyDescent="0.2">
      <c r="A53" s="2">
        <v>4200</v>
      </c>
      <c r="B53" s="3" t="s">
        <v>165</v>
      </c>
      <c r="C53" s="21">
        <f>'19_20 District Budget Summary-2'!P98</f>
        <v>0</v>
      </c>
      <c r="D53" s="21">
        <f>'PCFP-All Expense AA-1 Modifd-2'!J38</f>
        <v>0</v>
      </c>
      <c r="E53" s="288"/>
    </row>
    <row r="54" spans="1:5" hidden="1" x14ac:dyDescent="0.2">
      <c r="A54" s="2">
        <v>4300</v>
      </c>
      <c r="B54" s="3" t="s">
        <v>166</v>
      </c>
      <c r="C54" s="21">
        <f>'19_20 District Budget Summary-2'!P99</f>
        <v>0</v>
      </c>
      <c r="D54" s="21">
        <f>'PCFP-All Expense AA-1 Modifd-2'!J39</f>
        <v>0</v>
      </c>
      <c r="E54" s="288"/>
    </row>
    <row r="55" spans="1:5" hidden="1" x14ac:dyDescent="0.2">
      <c r="A55" s="2">
        <v>4400</v>
      </c>
      <c r="B55" s="3" t="s">
        <v>167</v>
      </c>
      <c r="C55" s="21">
        <f>'19_20 District Budget Summary-2'!P100</f>
        <v>0</v>
      </c>
      <c r="D55" s="21">
        <f>'PCFP-All Expense AA-1 Modifd-2'!J40</f>
        <v>0</v>
      </c>
      <c r="E55" s="288"/>
    </row>
    <row r="56" spans="1:5" hidden="1" x14ac:dyDescent="0.2">
      <c r="A56" s="2">
        <v>4500</v>
      </c>
      <c r="B56" s="3" t="s">
        <v>168</v>
      </c>
      <c r="C56" s="21">
        <f>'19_20 District Budget Summary-2'!P101</f>
        <v>0</v>
      </c>
      <c r="D56" s="21">
        <f>'PCFP-All Expense AA-1 Modifd-2'!J41</f>
        <v>0</v>
      </c>
      <c r="E56" s="288"/>
    </row>
    <row r="57" spans="1:5" hidden="1" x14ac:dyDescent="0.2">
      <c r="A57" s="2">
        <v>4600</v>
      </c>
      <c r="B57" s="3" t="s">
        <v>169</v>
      </c>
      <c r="C57" s="21">
        <f>'19_20 District Budget Summary-2'!P102</f>
        <v>181400</v>
      </c>
      <c r="D57" s="21">
        <f>'PCFP-All Expense AA-1 Modifd-2'!J42</f>
        <v>0</v>
      </c>
      <c r="E57" s="288"/>
    </row>
    <row r="58" spans="1:5" hidden="1" x14ac:dyDescent="0.2">
      <c r="A58" s="2">
        <v>4700</v>
      </c>
      <c r="B58" s="3" t="s">
        <v>170</v>
      </c>
      <c r="C58" s="21">
        <f>'19_20 District Budget Summary-2'!P103</f>
        <v>839011</v>
      </c>
      <c r="D58" s="21">
        <f>'PCFP-All Expense AA-1 Modifd-2'!J43</f>
        <v>0</v>
      </c>
      <c r="E58" s="288"/>
    </row>
    <row r="59" spans="1:5" hidden="1" x14ac:dyDescent="0.2">
      <c r="A59" s="2">
        <v>4900</v>
      </c>
      <c r="B59" s="3" t="s">
        <v>171</v>
      </c>
      <c r="C59" s="21">
        <f>'19_20 District Budget Summary-2'!P104</f>
        <v>0</v>
      </c>
      <c r="D59" s="21">
        <f>'PCFP-All Expense AA-1 Modifd-2'!J44</f>
        <v>0</v>
      </c>
      <c r="E59" s="288"/>
    </row>
    <row r="60" spans="1:5" hidden="1" x14ac:dyDescent="0.2">
      <c r="A60" s="2">
        <v>5000</v>
      </c>
      <c r="B60" s="3" t="s">
        <v>172</v>
      </c>
      <c r="C60" s="21">
        <f>'19_20 District Budget Summary-2'!P105</f>
        <v>230778</v>
      </c>
      <c r="D60" s="21">
        <f>'PCFP-All Expense AA-1 Modifd-2'!J45</f>
        <v>0</v>
      </c>
      <c r="E60" s="288"/>
    </row>
    <row r="61" spans="1:5" hidden="1" x14ac:dyDescent="0.2">
      <c r="A61" s="2">
        <v>5000</v>
      </c>
      <c r="B61" s="3" t="s">
        <v>173</v>
      </c>
      <c r="C61" s="21">
        <f>'19_20 District Budget Summary-2'!P106</f>
        <v>4675120</v>
      </c>
      <c r="D61" s="21">
        <f>'PCFP-All Expense AA-1 Modifd-2'!J46</f>
        <v>0</v>
      </c>
      <c r="E61" s="288"/>
    </row>
    <row r="62" spans="1:5" hidden="1" x14ac:dyDescent="0.2">
      <c r="A62" s="2">
        <v>6100</v>
      </c>
      <c r="B62" s="3" t="s">
        <v>174</v>
      </c>
      <c r="C62" s="21">
        <f>'19_20 District Budget Summary-2'!P107</f>
        <v>0</v>
      </c>
      <c r="D62" s="21">
        <f>'PCFP-All Expense AA-1 Modifd-2'!J47</f>
        <v>0</v>
      </c>
      <c r="E62" s="288"/>
    </row>
    <row r="63" spans="1:5" hidden="1" x14ac:dyDescent="0.2">
      <c r="A63" s="2">
        <v>6200</v>
      </c>
      <c r="B63" s="3" t="s">
        <v>175</v>
      </c>
      <c r="C63" s="21">
        <f>'19_20 District Budget Summary-2'!P108</f>
        <v>2025000</v>
      </c>
      <c r="D63" s="21">
        <f>'PCFP-All Expense AA-1 Modifd-2'!J48</f>
        <v>2025000</v>
      </c>
      <c r="E63" s="288"/>
    </row>
    <row r="64" spans="1:5" hidden="1" x14ac:dyDescent="0.2">
      <c r="A64" s="2">
        <v>6300</v>
      </c>
      <c r="B64" s="3" t="s">
        <v>176</v>
      </c>
      <c r="C64" s="21">
        <f>'19_20 District Budget Summary-2'!P109</f>
        <v>775000</v>
      </c>
      <c r="D64" s="21">
        <f>'PCFP-All Expense AA-1 Modifd-2'!J49</f>
        <v>775000</v>
      </c>
      <c r="E64" s="288"/>
    </row>
    <row r="65" spans="1:5" hidden="1" x14ac:dyDescent="0.2">
      <c r="A65" s="2">
        <v>8000</v>
      </c>
      <c r="B65" s="3" t="s">
        <v>177</v>
      </c>
      <c r="C65" s="21">
        <f>'19_20 District Budget Summary-2'!P110</f>
        <v>7359429</v>
      </c>
      <c r="D65" s="21">
        <f>'PCFP-All Expense AA-1 Modifd-2'!J50</f>
        <v>0</v>
      </c>
      <c r="E65" s="288"/>
    </row>
    <row r="66" spans="1:5" hidden="1" x14ac:dyDescent="0.2">
      <c r="B66" s="3" t="s">
        <v>445</v>
      </c>
      <c r="C66" s="21">
        <v>0</v>
      </c>
      <c r="D66" s="21">
        <f>'PCFP-All Expense AA-1 Modifd-2'!J51</f>
        <v>236366</v>
      </c>
      <c r="E66" s="288"/>
    </row>
    <row r="67" spans="1:5" hidden="1" x14ac:dyDescent="0.2">
      <c r="B67" s="3" t="s">
        <v>446</v>
      </c>
      <c r="C67" s="21">
        <v>0</v>
      </c>
      <c r="D67" s="21">
        <f>'PCFP-All Expense AA-1 Modifd-2'!J52</f>
        <v>1045359</v>
      </c>
      <c r="E67" s="288"/>
    </row>
    <row r="68" spans="1:5" hidden="1" x14ac:dyDescent="0.2">
      <c r="B68" s="3" t="s">
        <v>255</v>
      </c>
      <c r="C68" s="21">
        <v>0</v>
      </c>
      <c r="D68" s="21">
        <f>'PCFP-All Expense AA-1 Modifd-2'!J53</f>
        <v>0</v>
      </c>
      <c r="E68" s="288"/>
    </row>
    <row r="69" spans="1:5" x14ac:dyDescent="0.2">
      <c r="B69" s="3"/>
      <c r="C69" s="21"/>
      <c r="D69" s="21"/>
      <c r="E69" s="288"/>
    </row>
    <row r="70" spans="1:5" s="2" customFormat="1" x14ac:dyDescent="0.2">
      <c r="B70" s="3" t="str">
        <f>'PCFP-All Expense AA-1 Modifd-2'!A55</f>
        <v>DEBT SERVICE</v>
      </c>
      <c r="C70" s="21">
        <v>0</v>
      </c>
      <c r="D70" s="21">
        <f>'PCFP-All Expense AA-1 Modifd-2'!J55</f>
        <v>7723765</v>
      </c>
      <c r="E70" s="21"/>
    </row>
    <row r="71" spans="1:5" x14ac:dyDescent="0.2">
      <c r="B71" s="3"/>
      <c r="C71" s="21"/>
      <c r="D71" s="21"/>
      <c r="E71" s="288"/>
    </row>
    <row r="72" spans="1:5" x14ac:dyDescent="0.2">
      <c r="A72" s="53"/>
      <c r="B72" s="3" t="s">
        <v>469</v>
      </c>
      <c r="C72" s="21">
        <f>SUM(C73:C161)</f>
        <v>-3575000</v>
      </c>
      <c r="D72" s="21">
        <f>SUM(D73:D161)</f>
        <v>15590427</v>
      </c>
      <c r="E72" s="21"/>
    </row>
    <row r="73" spans="1:5" hidden="1" x14ac:dyDescent="0.2">
      <c r="B73" t="s">
        <v>179</v>
      </c>
      <c r="C73" s="12">
        <f>'19_20 District Budget Summary-2'!P113</f>
        <v>0</v>
      </c>
      <c r="D73" s="12">
        <f>'PCFP-All Expense AA-1 Modifd-2'!J59</f>
        <v>0</v>
      </c>
      <c r="E73" s="288"/>
    </row>
    <row r="74" spans="1:5" hidden="1" x14ac:dyDescent="0.2">
      <c r="B74" t="s">
        <v>145</v>
      </c>
      <c r="C74" s="12">
        <f>'19_20 District Budget Summary-2'!P114</f>
        <v>0</v>
      </c>
      <c r="D74" s="12">
        <f>'PCFP-All Expense AA-1 Modifd-2'!J60</f>
        <v>125277</v>
      </c>
      <c r="E74" s="288"/>
    </row>
    <row r="75" spans="1:5" hidden="1" x14ac:dyDescent="0.2">
      <c r="B75" t="s">
        <v>180</v>
      </c>
      <c r="C75" s="12">
        <f>'19_20 District Budget Summary-2'!P115</f>
        <v>0</v>
      </c>
      <c r="D75" s="12">
        <f>'PCFP-All Expense AA-1 Modifd-2'!J61</f>
        <v>0</v>
      </c>
      <c r="E75" s="288"/>
    </row>
    <row r="76" spans="1:5" hidden="1" x14ac:dyDescent="0.2">
      <c r="B76" t="s">
        <v>181</v>
      </c>
      <c r="C76" s="12">
        <f>'19_20 District Budget Summary-2'!P116</f>
        <v>0</v>
      </c>
      <c r="D76" s="12">
        <f>'PCFP-All Expense AA-1 Modifd-2'!J62</f>
        <v>0</v>
      </c>
      <c r="E76" s="288"/>
    </row>
    <row r="77" spans="1:5" hidden="1" x14ac:dyDescent="0.2">
      <c r="B77" t="s">
        <v>182</v>
      </c>
      <c r="C77" s="12">
        <f>'19_20 District Budget Summary-2'!P117</f>
        <v>0</v>
      </c>
      <c r="D77" s="12">
        <f>'PCFP-All Expense AA-1 Modifd-2'!J63</f>
        <v>0</v>
      </c>
      <c r="E77" s="288"/>
    </row>
    <row r="78" spans="1:5" hidden="1" x14ac:dyDescent="0.2">
      <c r="B78" t="s">
        <v>183</v>
      </c>
      <c r="C78" s="12">
        <f>'19_20 District Budget Summary-2'!P118</f>
        <v>0</v>
      </c>
      <c r="D78" s="12">
        <f>'PCFP-All Expense AA-1 Modifd-2'!J64</f>
        <v>0</v>
      </c>
      <c r="E78" s="288"/>
    </row>
    <row r="79" spans="1:5" hidden="1" x14ac:dyDescent="0.2">
      <c r="B79" t="s">
        <v>184</v>
      </c>
      <c r="C79" s="12">
        <f>'19_20 District Budget Summary-2'!P119</f>
        <v>0</v>
      </c>
      <c r="D79" s="12">
        <f>'PCFP-All Expense AA-1 Modifd-2'!J65</f>
        <v>0</v>
      </c>
      <c r="E79" s="288"/>
    </row>
    <row r="80" spans="1:5" hidden="1" x14ac:dyDescent="0.2">
      <c r="B80" t="s">
        <v>185</v>
      </c>
      <c r="C80" s="12">
        <f>'19_20 District Budget Summary-2'!P120</f>
        <v>0</v>
      </c>
      <c r="D80" s="12">
        <f>'PCFP-All Expense AA-1 Modifd-2'!J66</f>
        <v>358504</v>
      </c>
      <c r="E80" s="288"/>
    </row>
    <row r="81" spans="2:5" hidden="1" x14ac:dyDescent="0.2">
      <c r="B81" t="s">
        <v>186</v>
      </c>
      <c r="C81" s="12">
        <f>'19_20 District Budget Summary-2'!P121</f>
        <v>0</v>
      </c>
      <c r="D81" s="12">
        <f>'PCFP-All Expense AA-1 Modifd-2'!J67</f>
        <v>0</v>
      </c>
      <c r="E81" s="288"/>
    </row>
    <row r="82" spans="2:5" hidden="1" x14ac:dyDescent="0.2">
      <c r="B82" t="s">
        <v>187</v>
      </c>
      <c r="C82" s="12">
        <f>'19_20 District Budget Summary-2'!P122</f>
        <v>0</v>
      </c>
      <c r="D82" s="12">
        <f>'PCFP-All Expense AA-1 Modifd-2'!J68</f>
        <v>0</v>
      </c>
      <c r="E82" s="288"/>
    </row>
    <row r="83" spans="2:5" hidden="1" x14ac:dyDescent="0.2">
      <c r="B83" t="s">
        <v>188</v>
      </c>
      <c r="C83" s="12">
        <f>'19_20 District Budget Summary-2'!P123</f>
        <v>0</v>
      </c>
      <c r="D83" s="12">
        <f>'PCFP-All Expense AA-1 Modifd-2'!J69</f>
        <v>0</v>
      </c>
      <c r="E83" s="288"/>
    </row>
    <row r="84" spans="2:5" hidden="1" x14ac:dyDescent="0.2">
      <c r="B84" t="s">
        <v>189</v>
      </c>
      <c r="C84" s="12">
        <f>'19_20 District Budget Summary-2'!P124</f>
        <v>0</v>
      </c>
      <c r="D84" s="12">
        <f>'PCFP-All Expense AA-1 Modifd-2'!J70</f>
        <v>0</v>
      </c>
      <c r="E84" s="288"/>
    </row>
    <row r="85" spans="2:5" hidden="1" x14ac:dyDescent="0.2">
      <c r="B85" t="s">
        <v>190</v>
      </c>
      <c r="C85" s="12">
        <f>'19_20 District Budget Summary-2'!P125</f>
        <v>-1550000</v>
      </c>
      <c r="D85" s="12">
        <f>'PCFP-All Expense AA-1 Modifd-2'!J71</f>
        <v>3665418</v>
      </c>
      <c r="E85" s="288"/>
    </row>
    <row r="86" spans="2:5" hidden="1" x14ac:dyDescent="0.2">
      <c r="B86" t="s">
        <v>191</v>
      </c>
      <c r="C86" s="12">
        <f>'19_20 District Budget Summary-2'!P126</f>
        <v>0</v>
      </c>
      <c r="D86" s="12">
        <f>'PCFP-All Expense AA-1 Modifd-2'!J72</f>
        <v>892022</v>
      </c>
      <c r="E86" s="288"/>
    </row>
    <row r="87" spans="2:5" hidden="1" x14ac:dyDescent="0.2">
      <c r="B87" t="s">
        <v>192</v>
      </c>
      <c r="C87" s="12">
        <f>'19_20 District Budget Summary-2'!P127</f>
        <v>0</v>
      </c>
      <c r="D87" s="12">
        <f>'PCFP-All Expense AA-1 Modifd-2'!J73</f>
        <v>0</v>
      </c>
      <c r="E87" s="288"/>
    </row>
    <row r="88" spans="2:5" hidden="1" x14ac:dyDescent="0.2">
      <c r="B88" t="s">
        <v>193</v>
      </c>
      <c r="C88" s="12">
        <f>'19_20 District Budget Summary-2'!P128</f>
        <v>0</v>
      </c>
      <c r="D88" s="12">
        <f>'PCFP-All Expense AA-1 Modifd-2'!J74</f>
        <v>0</v>
      </c>
      <c r="E88" s="288"/>
    </row>
    <row r="89" spans="2:5" hidden="1" x14ac:dyDescent="0.2">
      <c r="B89" t="s">
        <v>194</v>
      </c>
      <c r="C89" s="12">
        <f>'19_20 District Budget Summary-2'!P129</f>
        <v>0</v>
      </c>
      <c r="D89" s="12">
        <f>'PCFP-All Expense AA-1 Modifd-2'!J75</f>
        <v>0</v>
      </c>
      <c r="E89" s="288"/>
    </row>
    <row r="90" spans="2:5" hidden="1" x14ac:dyDescent="0.2">
      <c r="B90" t="s">
        <v>195</v>
      </c>
      <c r="C90" s="12">
        <f>'19_20 District Budget Summary-2'!P130</f>
        <v>0</v>
      </c>
      <c r="D90" s="12">
        <f>'PCFP-All Expense AA-1 Modifd-2'!J76</f>
        <v>0</v>
      </c>
      <c r="E90" s="288"/>
    </row>
    <row r="91" spans="2:5" hidden="1" x14ac:dyDescent="0.2">
      <c r="B91" t="s">
        <v>196</v>
      </c>
      <c r="C91" s="12">
        <f>'19_20 District Budget Summary-2'!P131</f>
        <v>0</v>
      </c>
      <c r="D91" s="12">
        <f>'PCFP-All Expense AA-1 Modifd-2'!J77</f>
        <v>0</v>
      </c>
      <c r="E91" s="288"/>
    </row>
    <row r="92" spans="2:5" hidden="1" x14ac:dyDescent="0.2">
      <c r="B92" t="s">
        <v>197</v>
      </c>
      <c r="C92" s="12">
        <f>'19_20 District Budget Summary-2'!P132</f>
        <v>0</v>
      </c>
      <c r="D92" s="12">
        <f>'PCFP-All Expense AA-1 Modifd-2'!J78</f>
        <v>0</v>
      </c>
      <c r="E92" s="288"/>
    </row>
    <row r="93" spans="2:5" hidden="1" x14ac:dyDescent="0.2">
      <c r="B93" t="s">
        <v>198</v>
      </c>
      <c r="C93" s="12">
        <f>'19_20 District Budget Summary-2'!P133</f>
        <v>0</v>
      </c>
      <c r="D93" s="12">
        <f>'PCFP-All Expense AA-1 Modifd-2'!J79</f>
        <v>0</v>
      </c>
      <c r="E93" s="288"/>
    </row>
    <row r="94" spans="2:5" hidden="1" x14ac:dyDescent="0.2">
      <c r="B94" t="s">
        <v>199</v>
      </c>
      <c r="C94" s="12">
        <f>'19_20 District Budget Summary-2'!P134</f>
        <v>0</v>
      </c>
      <c r="D94" s="12">
        <f>'PCFP-All Expense AA-1 Modifd-2'!J80</f>
        <v>0</v>
      </c>
      <c r="E94" s="288"/>
    </row>
    <row r="95" spans="2:5" hidden="1" x14ac:dyDescent="0.2">
      <c r="B95" t="s">
        <v>200</v>
      </c>
      <c r="C95" s="12">
        <f>'19_20 District Budget Summary-2'!P135</f>
        <v>0</v>
      </c>
      <c r="D95" s="12">
        <f>'PCFP-All Expense AA-1 Modifd-2'!J81</f>
        <v>0</v>
      </c>
      <c r="E95" s="288"/>
    </row>
    <row r="96" spans="2:5" hidden="1" x14ac:dyDescent="0.2">
      <c r="B96" t="s">
        <v>201</v>
      </c>
      <c r="C96" s="12">
        <f>'19_20 District Budget Summary-2'!P136</f>
        <v>0</v>
      </c>
      <c r="D96" s="12">
        <f>'PCFP-All Expense AA-1 Modifd-2'!J82</f>
        <v>0</v>
      </c>
      <c r="E96" s="288"/>
    </row>
    <row r="97" spans="2:5" hidden="1" x14ac:dyDescent="0.2">
      <c r="B97" t="s">
        <v>202</v>
      </c>
      <c r="C97" s="12">
        <f>'19_20 District Budget Summary-2'!P137</f>
        <v>0</v>
      </c>
      <c r="D97" s="12">
        <f>'PCFP-All Expense AA-1 Modifd-2'!J83</f>
        <v>0</v>
      </c>
      <c r="E97" s="288"/>
    </row>
    <row r="98" spans="2:5" hidden="1" x14ac:dyDescent="0.2">
      <c r="B98" t="s">
        <v>203</v>
      </c>
      <c r="C98" s="12">
        <f>'19_20 District Budget Summary-2'!P138</f>
        <v>0</v>
      </c>
      <c r="D98" s="12">
        <f>'PCFP-All Expense AA-1 Modifd-2'!J84</f>
        <v>0</v>
      </c>
      <c r="E98" s="288"/>
    </row>
    <row r="99" spans="2:5" hidden="1" x14ac:dyDescent="0.2">
      <c r="B99" t="s">
        <v>204</v>
      </c>
      <c r="C99" s="12">
        <f>'19_20 District Budget Summary-2'!P139</f>
        <v>0</v>
      </c>
      <c r="D99" s="12">
        <f>'PCFP-All Expense AA-1 Modifd-2'!J85</f>
        <v>0</v>
      </c>
      <c r="E99" s="288"/>
    </row>
    <row r="100" spans="2:5" hidden="1" x14ac:dyDescent="0.2">
      <c r="B100" t="s">
        <v>205</v>
      </c>
      <c r="C100" s="12">
        <f>'19_20 District Budget Summary-2'!P140</f>
        <v>0</v>
      </c>
      <c r="D100" s="12">
        <f>'PCFP-All Expense AA-1 Modifd-2'!J86</f>
        <v>2575668</v>
      </c>
      <c r="E100" s="288"/>
    </row>
    <row r="101" spans="2:5" hidden="1" x14ac:dyDescent="0.2">
      <c r="B101" t="s">
        <v>206</v>
      </c>
      <c r="C101" s="12">
        <f>'19_20 District Budget Summary-2'!P141</f>
        <v>-100000</v>
      </c>
      <c r="D101" s="12">
        <f>'PCFP-All Expense AA-1 Modifd-2'!J87</f>
        <v>1530829</v>
      </c>
      <c r="E101" s="288"/>
    </row>
    <row r="102" spans="2:5" hidden="1" x14ac:dyDescent="0.2">
      <c r="B102" t="s">
        <v>207</v>
      </c>
      <c r="C102" s="12">
        <f>'19_20 District Budget Summary-2'!P142</f>
        <v>0</v>
      </c>
      <c r="D102" s="12">
        <f>'PCFP-All Expense AA-1 Modifd-2'!J88</f>
        <v>0</v>
      </c>
      <c r="E102" s="288"/>
    </row>
    <row r="103" spans="2:5" hidden="1" x14ac:dyDescent="0.2">
      <c r="B103" t="s">
        <v>208</v>
      </c>
      <c r="C103" s="12">
        <f>'19_20 District Budget Summary-2'!P143</f>
        <v>0</v>
      </c>
      <c r="D103" s="12">
        <f>'PCFP-All Expense AA-1 Modifd-2'!J89</f>
        <v>0</v>
      </c>
      <c r="E103" s="288"/>
    </row>
    <row r="104" spans="2:5" hidden="1" x14ac:dyDescent="0.2">
      <c r="B104" t="s">
        <v>209</v>
      </c>
      <c r="C104" s="12">
        <f>'19_20 District Budget Summary-2'!P144</f>
        <v>0</v>
      </c>
      <c r="D104" s="12">
        <f>'PCFP-All Expense AA-1 Modifd-2'!J90</f>
        <v>0</v>
      </c>
      <c r="E104" s="288"/>
    </row>
    <row r="105" spans="2:5" hidden="1" x14ac:dyDescent="0.2">
      <c r="B105" t="s">
        <v>210</v>
      </c>
      <c r="C105" s="12">
        <f>'19_20 District Budget Summary-2'!P145</f>
        <v>0</v>
      </c>
      <c r="D105" s="12">
        <f>'PCFP-All Expense AA-1 Modifd-2'!J91</f>
        <v>267281</v>
      </c>
      <c r="E105" s="288"/>
    </row>
    <row r="106" spans="2:5" hidden="1" x14ac:dyDescent="0.2">
      <c r="B106" t="s">
        <v>211</v>
      </c>
      <c r="C106" s="12">
        <f>'19_20 District Budget Summary-2'!P146</f>
        <v>0</v>
      </c>
      <c r="D106" s="12">
        <f>'PCFP-All Expense AA-1 Modifd-2'!J92</f>
        <v>0</v>
      </c>
      <c r="E106" s="288"/>
    </row>
    <row r="107" spans="2:5" hidden="1" x14ac:dyDescent="0.2">
      <c r="B107" t="s">
        <v>212</v>
      </c>
      <c r="C107" s="12">
        <f>'19_20 District Budget Summary-2'!P147</f>
        <v>0</v>
      </c>
      <c r="D107" s="12">
        <f>'PCFP-All Expense AA-1 Modifd-2'!J93</f>
        <v>0</v>
      </c>
      <c r="E107" s="288"/>
    </row>
    <row r="108" spans="2:5" hidden="1" x14ac:dyDescent="0.2">
      <c r="B108" t="s">
        <v>213</v>
      </c>
      <c r="C108" s="12">
        <f>'19_20 District Budget Summary-2'!P148</f>
        <v>0</v>
      </c>
      <c r="D108" s="12">
        <f>'PCFP-All Expense AA-1 Modifd-2'!J94</f>
        <v>0</v>
      </c>
      <c r="E108" s="288"/>
    </row>
    <row r="109" spans="2:5" hidden="1" x14ac:dyDescent="0.2">
      <c r="B109" t="s">
        <v>214</v>
      </c>
      <c r="C109" s="12">
        <f>'19_20 District Budget Summary-2'!P149</f>
        <v>0</v>
      </c>
      <c r="D109" s="12">
        <f>'PCFP-All Expense AA-1 Modifd-2'!J95</f>
        <v>0</v>
      </c>
      <c r="E109" s="288"/>
    </row>
    <row r="110" spans="2:5" hidden="1" x14ac:dyDescent="0.2">
      <c r="B110" t="s">
        <v>215</v>
      </c>
      <c r="C110" s="12">
        <f>'19_20 District Budget Summary-2'!P150</f>
        <v>0</v>
      </c>
      <c r="D110" s="12">
        <f>'PCFP-All Expense AA-1 Modifd-2'!J96</f>
        <v>0</v>
      </c>
      <c r="E110" s="288"/>
    </row>
    <row r="111" spans="2:5" hidden="1" x14ac:dyDescent="0.2">
      <c r="B111" t="s">
        <v>216</v>
      </c>
      <c r="C111" s="12">
        <f>'19_20 District Budget Summary-2'!P151</f>
        <v>0</v>
      </c>
      <c r="D111" s="12">
        <f>'PCFP-All Expense AA-1 Modifd-2'!J97</f>
        <v>0</v>
      </c>
      <c r="E111" s="288"/>
    </row>
    <row r="112" spans="2:5" hidden="1" x14ac:dyDescent="0.2">
      <c r="B112" t="s">
        <v>217</v>
      </c>
      <c r="C112" s="12">
        <f>'19_20 District Budget Summary-2'!P152</f>
        <v>0</v>
      </c>
      <c r="D112" s="12">
        <f>'PCFP-All Expense AA-1 Modifd-2'!J98</f>
        <v>0</v>
      </c>
      <c r="E112" s="288"/>
    </row>
    <row r="113" spans="1:5" hidden="1" x14ac:dyDescent="0.2">
      <c r="B113" t="s">
        <v>218</v>
      </c>
      <c r="C113" s="12">
        <f>'19_20 District Budget Summary-2'!P153</f>
        <v>0</v>
      </c>
      <c r="D113" s="12">
        <f>'PCFP-All Expense AA-1 Modifd-2'!J99</f>
        <v>0</v>
      </c>
      <c r="E113" s="288"/>
    </row>
    <row r="114" spans="1:5" hidden="1" x14ac:dyDescent="0.2">
      <c r="B114" t="s">
        <v>219</v>
      </c>
      <c r="C114" s="12">
        <f>'19_20 District Budget Summary-2'!P154</f>
        <v>0</v>
      </c>
      <c r="D114" s="12">
        <f>'PCFP-All Expense AA-1 Modifd-2'!J100</f>
        <v>0</v>
      </c>
      <c r="E114" s="288"/>
    </row>
    <row r="115" spans="1:5" hidden="1" x14ac:dyDescent="0.2">
      <c r="B115" t="s">
        <v>220</v>
      </c>
      <c r="C115" s="12">
        <f>'19_20 District Budget Summary-2'!P155</f>
        <v>0</v>
      </c>
      <c r="D115" s="12">
        <f>'PCFP-All Expense AA-1 Modifd-2'!J101</f>
        <v>0</v>
      </c>
      <c r="E115" s="288"/>
    </row>
    <row r="116" spans="1:5" hidden="1" x14ac:dyDescent="0.2">
      <c r="B116" t="s">
        <v>221</v>
      </c>
      <c r="C116" s="12">
        <f>'19_20 District Budget Summary-2'!P156</f>
        <v>0</v>
      </c>
      <c r="D116" s="12">
        <f>'PCFP-All Expense AA-1 Modifd-2'!J102</f>
        <v>0</v>
      </c>
      <c r="E116" s="288"/>
    </row>
    <row r="117" spans="1:5" hidden="1" x14ac:dyDescent="0.2">
      <c r="A117" s="2" t="s">
        <v>10</v>
      </c>
      <c r="B117" t="s">
        <v>142</v>
      </c>
      <c r="C117" s="12">
        <f>'19_20 District Budget Summary-2'!P157</f>
        <v>0</v>
      </c>
      <c r="D117" s="12">
        <f>'PCFP-All Expense AA-1 Modifd-2'!J103</f>
        <v>138600</v>
      </c>
      <c r="E117" s="288"/>
    </row>
    <row r="118" spans="1:5" hidden="1" x14ac:dyDescent="0.2">
      <c r="A118" s="2" t="s">
        <v>10</v>
      </c>
      <c r="B118" t="s">
        <v>141</v>
      </c>
      <c r="C118" s="12">
        <f>'19_20 District Budget Summary-2'!P158</f>
        <v>0</v>
      </c>
      <c r="D118" s="12">
        <f>'PCFP-All Expense AA-1 Modifd-2'!J104</f>
        <v>306008</v>
      </c>
      <c r="E118" s="288"/>
    </row>
    <row r="119" spans="1:5" hidden="1" x14ac:dyDescent="0.2">
      <c r="A119" s="2" t="s">
        <v>33</v>
      </c>
      <c r="B119" t="s">
        <v>222</v>
      </c>
      <c r="C119" s="12">
        <f>'19_20 District Budget Summary-2'!P159</f>
        <v>0</v>
      </c>
      <c r="D119" s="12">
        <f>'PCFP-All Expense AA-1 Modifd-2'!J105</f>
        <v>0</v>
      </c>
      <c r="E119" s="288"/>
    </row>
    <row r="120" spans="1:5" hidden="1" x14ac:dyDescent="0.2">
      <c r="A120" s="2" t="s">
        <v>10</v>
      </c>
      <c r="B120" t="s">
        <v>138</v>
      </c>
      <c r="C120" s="12">
        <f>'19_20 District Budget Summary-2'!P160</f>
        <v>0</v>
      </c>
      <c r="D120" s="12">
        <f>'PCFP-All Expense AA-1 Modifd-2'!J106</f>
        <v>0</v>
      </c>
      <c r="E120" s="288"/>
    </row>
    <row r="121" spans="1:5" hidden="1" x14ac:dyDescent="0.2">
      <c r="A121" s="2" t="s">
        <v>10</v>
      </c>
      <c r="B121" t="s">
        <v>136</v>
      </c>
      <c r="C121" s="12">
        <f>'19_20 District Budget Summary-2'!P161</f>
        <v>0</v>
      </c>
      <c r="D121" s="12">
        <f>'PCFP-All Expense AA-1 Modifd-2'!J107</f>
        <v>5294903</v>
      </c>
      <c r="E121" s="288"/>
    </row>
    <row r="122" spans="1:5" hidden="1" x14ac:dyDescent="0.2">
      <c r="B122" t="s">
        <v>223</v>
      </c>
      <c r="C122" s="12">
        <f>'19_20 District Budget Summary-2'!P162</f>
        <v>0</v>
      </c>
      <c r="D122" s="12">
        <f>'PCFP-All Expense AA-1 Modifd-2'!J108</f>
        <v>0</v>
      </c>
      <c r="E122" s="288"/>
    </row>
    <row r="123" spans="1:5" hidden="1" x14ac:dyDescent="0.2">
      <c r="B123" t="s">
        <v>224</v>
      </c>
      <c r="C123" s="12">
        <f>'19_20 District Budget Summary-2'!P163</f>
        <v>0</v>
      </c>
      <c r="D123" s="12">
        <f>'PCFP-All Expense AA-1 Modifd-2'!J109</f>
        <v>0</v>
      </c>
      <c r="E123" s="288"/>
    </row>
    <row r="124" spans="1:5" hidden="1" x14ac:dyDescent="0.2">
      <c r="B124" t="s">
        <v>225</v>
      </c>
      <c r="C124" s="12">
        <f>'19_20 District Budget Summary-2'!P164</f>
        <v>0</v>
      </c>
      <c r="D124" s="12">
        <f>'PCFP-All Expense AA-1 Modifd-2'!J110</f>
        <v>0</v>
      </c>
      <c r="E124" s="288"/>
    </row>
    <row r="125" spans="1:5" hidden="1" x14ac:dyDescent="0.2">
      <c r="B125" t="s">
        <v>226</v>
      </c>
      <c r="C125" s="12">
        <f>'19_20 District Budget Summary-2'!P165</f>
        <v>0</v>
      </c>
      <c r="D125" s="12">
        <f>'PCFP-All Expense AA-1 Modifd-2'!J111</f>
        <v>0</v>
      </c>
      <c r="E125" s="288"/>
    </row>
    <row r="126" spans="1:5" hidden="1" x14ac:dyDescent="0.2">
      <c r="B126" t="s">
        <v>227</v>
      </c>
      <c r="C126" s="12">
        <f>'19_20 District Budget Summary-2'!P166</f>
        <v>0</v>
      </c>
      <c r="D126" s="12">
        <f>'PCFP-All Expense AA-1 Modifd-2'!J112</f>
        <v>0</v>
      </c>
      <c r="E126" s="288"/>
    </row>
    <row r="127" spans="1:5" hidden="1" x14ac:dyDescent="0.2">
      <c r="B127" t="s">
        <v>228</v>
      </c>
      <c r="C127" s="12">
        <f>'19_20 District Budget Summary-2'!P167</f>
        <v>0</v>
      </c>
      <c r="D127" s="12">
        <f>'PCFP-All Expense AA-1 Modifd-2'!J113</f>
        <v>0</v>
      </c>
      <c r="E127" s="288"/>
    </row>
    <row r="128" spans="1:5" hidden="1" x14ac:dyDescent="0.2">
      <c r="B128" t="s">
        <v>229</v>
      </c>
      <c r="C128" s="12">
        <f>'19_20 District Budget Summary-2'!P168</f>
        <v>0</v>
      </c>
      <c r="D128" s="12">
        <f>'PCFP-All Expense AA-1 Modifd-2'!J114</f>
        <v>0</v>
      </c>
      <c r="E128" s="288"/>
    </row>
    <row r="129" spans="2:5" hidden="1" x14ac:dyDescent="0.2">
      <c r="B129" t="s">
        <v>230</v>
      </c>
      <c r="C129" s="12">
        <f>'19_20 District Budget Summary-2'!P169</f>
        <v>0</v>
      </c>
      <c r="D129" s="12">
        <f>'PCFP-All Expense AA-1 Modifd-2'!J115</f>
        <v>0</v>
      </c>
      <c r="E129" s="288"/>
    </row>
    <row r="130" spans="2:5" hidden="1" x14ac:dyDescent="0.2">
      <c r="B130" t="s">
        <v>231</v>
      </c>
      <c r="C130" s="12">
        <f>'19_20 District Budget Summary-2'!P170</f>
        <v>0</v>
      </c>
      <c r="D130" s="12">
        <f>'PCFP-All Expense AA-1 Modifd-2'!J116</f>
        <v>0</v>
      </c>
      <c r="E130" s="288"/>
    </row>
    <row r="131" spans="2:5" hidden="1" x14ac:dyDescent="0.2">
      <c r="B131" t="s">
        <v>232</v>
      </c>
      <c r="C131" s="12">
        <f>'19_20 District Budget Summary-2'!P171</f>
        <v>0</v>
      </c>
      <c r="D131" s="12">
        <f>'PCFP-All Expense AA-1 Modifd-2'!J117</f>
        <v>0</v>
      </c>
      <c r="E131" s="288"/>
    </row>
    <row r="132" spans="2:5" hidden="1" x14ac:dyDescent="0.2">
      <c r="B132" t="s">
        <v>233</v>
      </c>
      <c r="C132" s="12">
        <f>'19_20 District Budget Summary-2'!P172</f>
        <v>0</v>
      </c>
      <c r="D132" s="12">
        <f>'PCFP-All Expense AA-1 Modifd-2'!J118</f>
        <v>0</v>
      </c>
      <c r="E132" s="288"/>
    </row>
    <row r="133" spans="2:5" hidden="1" x14ac:dyDescent="0.2">
      <c r="B133" t="s">
        <v>234</v>
      </c>
      <c r="C133" s="12">
        <f>'19_20 District Budget Summary-2'!P173</f>
        <v>0</v>
      </c>
      <c r="D133" s="12">
        <f>'PCFP-All Expense AA-1 Modifd-2'!J119</f>
        <v>0</v>
      </c>
      <c r="E133" s="288"/>
    </row>
    <row r="134" spans="2:5" hidden="1" x14ac:dyDescent="0.2">
      <c r="B134" t="s">
        <v>9</v>
      </c>
      <c r="C134" s="12">
        <f>'19_20 District Budget Summary-2'!P174</f>
        <v>-1925000</v>
      </c>
      <c r="D134" s="12">
        <f>'PCFP-All Expense AA-1 Modifd-2'!J120</f>
        <v>0</v>
      </c>
      <c r="E134" s="288"/>
    </row>
    <row r="135" spans="2:5" hidden="1" x14ac:dyDescent="0.2">
      <c r="B135" t="s">
        <v>235</v>
      </c>
      <c r="C135" s="12">
        <f>'19_20 District Budget Summary-2'!P175</f>
        <v>0</v>
      </c>
      <c r="D135" s="12">
        <f>'PCFP-All Expense AA-1 Modifd-2'!J121</f>
        <v>0</v>
      </c>
      <c r="E135" s="288"/>
    </row>
    <row r="136" spans="2:5" hidden="1" x14ac:dyDescent="0.2">
      <c r="B136" t="s">
        <v>236</v>
      </c>
      <c r="C136" s="12">
        <f>'19_20 District Budget Summary-2'!P176</f>
        <v>0</v>
      </c>
      <c r="D136" s="12">
        <f>'PCFP-All Expense AA-1 Modifd-2'!J122</f>
        <v>0</v>
      </c>
      <c r="E136" s="288"/>
    </row>
    <row r="137" spans="2:5" hidden="1" x14ac:dyDescent="0.2">
      <c r="B137" t="s">
        <v>237</v>
      </c>
      <c r="C137" s="12">
        <f>'19_20 District Budget Summary-2'!P177</f>
        <v>0</v>
      </c>
      <c r="D137" s="12">
        <f>'PCFP-All Expense AA-1 Modifd-2'!J123</f>
        <v>2876638</v>
      </c>
      <c r="E137" s="288"/>
    </row>
    <row r="138" spans="2:5" hidden="1" x14ac:dyDescent="0.2">
      <c r="B138" t="s">
        <v>238</v>
      </c>
      <c r="C138" s="12">
        <f>'19_20 District Budget Summary-2'!P178</f>
        <v>0</v>
      </c>
      <c r="D138" s="12">
        <f>'PCFP-All Expense AA-1 Modifd-2'!J124</f>
        <v>0</v>
      </c>
      <c r="E138" s="288"/>
    </row>
    <row r="139" spans="2:5" hidden="1" x14ac:dyDescent="0.2">
      <c r="B139" t="s">
        <v>239</v>
      </c>
      <c r="C139" s="12">
        <f>'19_20 District Budget Summary-2'!P179</f>
        <v>0</v>
      </c>
      <c r="D139" s="12">
        <f>'PCFP-All Expense AA-1 Modifd-2'!J125</f>
        <v>0</v>
      </c>
      <c r="E139" s="288"/>
    </row>
    <row r="140" spans="2:5" hidden="1" x14ac:dyDescent="0.2">
      <c r="B140" t="s">
        <v>240</v>
      </c>
      <c r="C140" s="12">
        <f>'19_20 District Budget Summary-2'!P180</f>
        <v>0</v>
      </c>
      <c r="D140" s="12">
        <f>'PCFP-All Expense AA-1 Modifd-2'!J126</f>
        <v>0</v>
      </c>
      <c r="E140" s="288"/>
    </row>
    <row r="141" spans="2:5" hidden="1" x14ac:dyDescent="0.2">
      <c r="B141" t="s">
        <v>241</v>
      </c>
      <c r="C141" s="12">
        <f>'19_20 District Budget Summary-2'!P181</f>
        <v>0</v>
      </c>
      <c r="D141" s="12">
        <f>'PCFP-All Expense AA-1 Modifd-2'!J127</f>
        <v>0</v>
      </c>
      <c r="E141" s="288"/>
    </row>
    <row r="142" spans="2:5" hidden="1" x14ac:dyDescent="0.2">
      <c r="B142" t="s">
        <v>242</v>
      </c>
      <c r="C142" s="12">
        <f>'19_20 District Budget Summary-2'!P182</f>
        <v>0</v>
      </c>
      <c r="D142" s="12">
        <f>'PCFP-All Expense AA-1 Modifd-2'!J128</f>
        <v>0</v>
      </c>
      <c r="E142" s="288"/>
    </row>
    <row r="143" spans="2:5" hidden="1" x14ac:dyDescent="0.2">
      <c r="B143" t="s">
        <v>243</v>
      </c>
      <c r="C143" s="12">
        <f>'19_20 District Budget Summary-2'!P183</f>
        <v>0</v>
      </c>
      <c r="D143" s="12">
        <f>'PCFP-All Expense AA-1 Modifd-2'!J129</f>
        <v>0</v>
      </c>
      <c r="E143" s="288"/>
    </row>
    <row r="144" spans="2:5" hidden="1" x14ac:dyDescent="0.2">
      <c r="B144" t="s">
        <v>244</v>
      </c>
      <c r="C144" s="12">
        <f>'19_20 District Budget Summary-2'!P184</f>
        <v>0</v>
      </c>
      <c r="D144" s="12">
        <f>'PCFP-All Expense AA-1 Modifd-2'!J130</f>
        <v>0</v>
      </c>
      <c r="E144" s="288"/>
    </row>
    <row r="145" spans="2:5" hidden="1" x14ac:dyDescent="0.2">
      <c r="B145" s="2" t="s">
        <v>245</v>
      </c>
      <c r="D145" s="12">
        <f>'PCFP-All Expense AA-1 Modifd-2'!J131</f>
        <v>0</v>
      </c>
      <c r="E145" s="288"/>
    </row>
    <row r="146" spans="2:5" hidden="1" x14ac:dyDescent="0.2">
      <c r="B146" t="s">
        <v>246</v>
      </c>
      <c r="C146" s="12">
        <f>'19_20 District Budget Summary-2'!P186</f>
        <v>0</v>
      </c>
      <c r="D146" s="12">
        <f>'PCFP-All Expense AA-1 Modifd-2'!J132</f>
        <v>0</v>
      </c>
      <c r="E146" s="288"/>
    </row>
    <row r="147" spans="2:5" hidden="1" x14ac:dyDescent="0.2">
      <c r="B147" t="s">
        <v>247</v>
      </c>
      <c r="C147" s="12">
        <f>'19_20 District Budget Summary-2'!P187</f>
        <v>0</v>
      </c>
      <c r="D147" s="12">
        <f>'PCFP-All Expense AA-1 Modifd-2'!J133</f>
        <v>0</v>
      </c>
      <c r="E147" s="288"/>
    </row>
    <row r="148" spans="2:5" hidden="1" x14ac:dyDescent="0.2">
      <c r="B148" t="s">
        <v>248</v>
      </c>
      <c r="C148" s="12">
        <f>'19_20 District Budget Summary-2'!P188</f>
        <v>0</v>
      </c>
      <c r="D148" s="12">
        <f>'PCFP-All Expense AA-1 Modifd-2'!J134</f>
        <v>0</v>
      </c>
      <c r="E148" s="288"/>
    </row>
    <row r="149" spans="2:5" hidden="1" x14ac:dyDescent="0.2">
      <c r="B149" t="s">
        <v>249</v>
      </c>
      <c r="C149" s="12">
        <f>'19_20 District Budget Summary-2'!P189</f>
        <v>0</v>
      </c>
      <c r="D149" s="12">
        <f>'PCFP-All Expense AA-1 Modifd-2'!J135</f>
        <v>0</v>
      </c>
      <c r="E149" s="288"/>
    </row>
    <row r="150" spans="2:5" hidden="1" x14ac:dyDescent="0.2">
      <c r="B150" t="s">
        <v>250</v>
      </c>
      <c r="C150" s="12">
        <f>'19_20 District Budget Summary-2'!P190</f>
        <v>0</v>
      </c>
      <c r="D150" s="12">
        <f>'PCFP-All Expense AA-1 Modifd-2'!J136</f>
        <v>0</v>
      </c>
      <c r="E150" s="288"/>
    </row>
    <row r="151" spans="2:5" hidden="1" x14ac:dyDescent="0.2">
      <c r="B151" t="s">
        <v>251</v>
      </c>
      <c r="C151" s="12">
        <f>'19_20 District Budget Summary-2'!P191</f>
        <v>0</v>
      </c>
      <c r="D151" s="12">
        <f>'PCFP-All Expense AA-1 Modifd-2'!J137</f>
        <v>0</v>
      </c>
      <c r="E151" s="288"/>
    </row>
    <row r="152" spans="2:5" hidden="1" x14ac:dyDescent="0.2">
      <c r="B152" t="s">
        <v>252</v>
      </c>
      <c r="C152" s="12">
        <f>'19_20 District Budget Summary-2'!P192</f>
        <v>0</v>
      </c>
      <c r="D152" s="12">
        <f>'PCFP-All Expense AA-1 Modifd-2'!J138</f>
        <v>0</v>
      </c>
      <c r="E152" s="288"/>
    </row>
    <row r="153" spans="2:5" hidden="1" x14ac:dyDescent="0.2">
      <c r="B153" t="s">
        <v>253</v>
      </c>
      <c r="C153" s="12">
        <f>'19_20 District Budget Summary-2'!P193</f>
        <v>0</v>
      </c>
      <c r="D153" s="12">
        <f>'PCFP-All Expense AA-1 Modifd-2'!J139</f>
        <v>0</v>
      </c>
      <c r="E153" s="288"/>
    </row>
    <row r="154" spans="2:5" hidden="1" x14ac:dyDescent="0.2">
      <c r="B154" t="s">
        <v>254</v>
      </c>
      <c r="C154" s="12">
        <f>'19_20 District Budget Summary-2'!P194</f>
        <v>0</v>
      </c>
      <c r="D154" s="12">
        <f>'PCFP-All Expense AA-1 Modifd-2'!J140</f>
        <v>0</v>
      </c>
      <c r="E154" s="288"/>
    </row>
    <row r="155" spans="2:5" hidden="1" x14ac:dyDescent="0.2">
      <c r="B155" t="s">
        <v>255</v>
      </c>
      <c r="C155" s="12">
        <f>'19_20 District Budget Summary-2'!P195</f>
        <v>0</v>
      </c>
      <c r="D155" s="12">
        <f>'PCFP-All Expense AA-1 Modifd-2'!J141</f>
        <v>0</v>
      </c>
      <c r="E155" s="288"/>
    </row>
    <row r="156" spans="2:5" hidden="1" x14ac:dyDescent="0.2">
      <c r="B156" t="s">
        <v>256</v>
      </c>
      <c r="C156" s="12">
        <f>'19_20 District Budget Summary-2'!P196</f>
        <v>0</v>
      </c>
      <c r="D156" s="12">
        <f>'PCFP-All Expense AA-1 Modifd-2'!J142</f>
        <v>0</v>
      </c>
      <c r="E156" s="288"/>
    </row>
    <row r="157" spans="2:5" hidden="1" x14ac:dyDescent="0.2">
      <c r="B157" t="s">
        <v>257</v>
      </c>
      <c r="C157" s="12">
        <f>'19_20 District Budget Summary-2'!P197</f>
        <v>0</v>
      </c>
      <c r="D157" s="12">
        <f>'PCFP-All Expense AA-1 Modifd-2'!J143</f>
        <v>0</v>
      </c>
      <c r="E157" s="288"/>
    </row>
    <row r="158" spans="2:5" hidden="1" x14ac:dyDescent="0.2">
      <c r="B158" t="s">
        <v>258</v>
      </c>
      <c r="C158" s="12">
        <f>'19_20 District Budget Summary-2'!P198</f>
        <v>0</v>
      </c>
      <c r="D158" s="12">
        <f>'PCFP-All Expense AA-1 Modifd-2'!J144</f>
        <v>0</v>
      </c>
      <c r="E158" s="288"/>
    </row>
    <row r="159" spans="2:5" hidden="1" x14ac:dyDescent="0.2">
      <c r="B159" t="s">
        <v>259</v>
      </c>
      <c r="C159" s="12">
        <f>'19_20 District Budget Summary-2'!P199</f>
        <v>0</v>
      </c>
      <c r="D159" s="12">
        <f>'PCFP-All Expense AA-1 Modifd-2'!J145</f>
        <v>0</v>
      </c>
      <c r="E159" s="288"/>
    </row>
    <row r="160" spans="2:5" hidden="1" x14ac:dyDescent="0.2">
      <c r="B160" t="s">
        <v>260</v>
      </c>
      <c r="C160" s="12">
        <f>'19_20 District Budget Summary-2'!P200</f>
        <v>0</v>
      </c>
      <c r="D160" s="12">
        <f>'PCFP-All Expense AA-1 Modifd-2'!J146</f>
        <v>1134279</v>
      </c>
      <c r="E160" s="288"/>
    </row>
    <row r="161" spans="2:5" hidden="1" x14ac:dyDescent="0.2">
      <c r="B161" t="str">
        <f>'PCFP-All Expense AA-1 Modifd-2'!B149</f>
        <v>Less:  Interfund Transfers</v>
      </c>
      <c r="C161" s="12">
        <v>0</v>
      </c>
      <c r="D161" s="12">
        <f>'PCFP-All Expense AA-1 Modifd-2'!J149</f>
        <v>-3575000</v>
      </c>
      <c r="E161" s="288"/>
    </row>
  </sheetData>
  <pageMargins left="0.7" right="0.45" top="0.5" bottom="0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39</vt:i4>
      </vt:variant>
    </vt:vector>
  </HeadingPairs>
  <TitlesOfParts>
    <vt:vector size="127" baseType="lpstr">
      <vt:lpstr>TBL of Contents</vt:lpstr>
      <vt:lpstr>List of State Grants</vt:lpstr>
      <vt:lpstr>Title Page-1</vt:lpstr>
      <vt:lpstr>Comparative Summary-1</vt:lpstr>
      <vt:lpstr>19_20 District Budget Sum-1</vt:lpstr>
      <vt:lpstr>PCFP - All Revenue AA-1 R-1</vt:lpstr>
      <vt:lpstr>PCFP-All Expense AA-1 Modifd-1</vt:lpstr>
      <vt:lpstr>Title Page-2</vt:lpstr>
      <vt:lpstr>Comparative Summary-2</vt:lpstr>
      <vt:lpstr>19_20 District Budget Summary-2</vt:lpstr>
      <vt:lpstr>PCFP - All Revenue AA-1 R-2</vt:lpstr>
      <vt:lpstr>PCFP-All Expense AA-1 Modifd-2</vt:lpstr>
      <vt:lpstr>Comments-Questions-2</vt:lpstr>
      <vt:lpstr>Title Page-3</vt:lpstr>
      <vt:lpstr>Comparative Summary-3</vt:lpstr>
      <vt:lpstr>19_20 District Budget-3</vt:lpstr>
      <vt:lpstr>PCFP - All Revenue AA-1 R-3</vt:lpstr>
      <vt:lpstr>PCFP-All Expense AA-1 Modif-3</vt:lpstr>
      <vt:lpstr>Title Page-4</vt:lpstr>
      <vt:lpstr>Comparative Summary-4</vt:lpstr>
      <vt:lpstr>19_20 District Budget-4</vt:lpstr>
      <vt:lpstr>PCFP - All Revenue AA-1 R-4</vt:lpstr>
      <vt:lpstr>PCFP-All Expense AA-1 Modif-4</vt:lpstr>
      <vt:lpstr>Title Page-Elko-5</vt:lpstr>
      <vt:lpstr>Comparative Summary-5</vt:lpstr>
      <vt:lpstr>19_20 District Budget-5</vt:lpstr>
      <vt:lpstr>PCFP - All Revenue AA-1 R-5</vt:lpstr>
      <vt:lpstr>PCFP-All Expense AA-1 Modif-5</vt:lpstr>
      <vt:lpstr>Title Page-6</vt:lpstr>
      <vt:lpstr>Comparative Summary-6</vt:lpstr>
      <vt:lpstr>19_20 District Budget Summ-6</vt:lpstr>
      <vt:lpstr>PCFP - All Revenue AA-1 R -6</vt:lpstr>
      <vt:lpstr>PCFP-All Expense AA-1 Modif-6</vt:lpstr>
      <vt:lpstr>Title Page-7</vt:lpstr>
      <vt:lpstr>Comparative Summary-7</vt:lpstr>
      <vt:lpstr>19_20 District Budget Summ-7</vt:lpstr>
      <vt:lpstr>PCFP - All Revenue AA-1 R-7</vt:lpstr>
      <vt:lpstr>PCFP-All Expense AA-1 Modif-7</vt:lpstr>
      <vt:lpstr>Title Page-8</vt:lpstr>
      <vt:lpstr>Comparative Summary-8</vt:lpstr>
      <vt:lpstr>19_20 District Budget Summa-8</vt:lpstr>
      <vt:lpstr>PCFP - All Revenue AA-1 R-8</vt:lpstr>
      <vt:lpstr>PCFP-All Expense AA-1 Modif-8</vt:lpstr>
      <vt:lpstr>Title Page-9</vt:lpstr>
      <vt:lpstr>Comparative Summary-9</vt:lpstr>
      <vt:lpstr>19_20 District Budget-9</vt:lpstr>
      <vt:lpstr>PCFP - All Revenue AA-1 R-9</vt:lpstr>
      <vt:lpstr>PCFP-All Expense AA-1 Modif-9</vt:lpstr>
      <vt:lpstr>Title Page-10</vt:lpstr>
      <vt:lpstr>Comparative Summary-19</vt:lpstr>
      <vt:lpstr>19_20 District Budget Summ-10</vt:lpstr>
      <vt:lpstr>PCFP - All Revenue AA-1 R-10</vt:lpstr>
      <vt:lpstr>PCFP-All Expense AA-1 Modifd-10</vt:lpstr>
      <vt:lpstr>Title Page-11</vt:lpstr>
      <vt:lpstr>Comparative Summary-11</vt:lpstr>
      <vt:lpstr>19_20 District Budget Summ-11</vt:lpstr>
      <vt:lpstr>PCFP - All Revenue AA-1 R-11</vt:lpstr>
      <vt:lpstr>PCFP-All Expense AA-1 Modifd-11</vt:lpstr>
      <vt:lpstr>Title Page-12</vt:lpstr>
      <vt:lpstr>Comparative Summary-12</vt:lpstr>
      <vt:lpstr>19_20 District Budget Summ-12</vt:lpstr>
      <vt:lpstr>PCFP - All Revenue AA-1 R -12</vt:lpstr>
      <vt:lpstr>PCFP-All Expense AA-1 Modi-12</vt:lpstr>
      <vt:lpstr>Title Page-13</vt:lpstr>
      <vt:lpstr>Comparative Summary-13</vt:lpstr>
      <vt:lpstr>19_20 District Budget Summ-13</vt:lpstr>
      <vt:lpstr>PCFP - All Revenue AA-1 R -13</vt:lpstr>
      <vt:lpstr>PCFP-All Expense AA-1 Modi-13</vt:lpstr>
      <vt:lpstr>Title Page-14</vt:lpstr>
      <vt:lpstr>Comparative Summary-14</vt:lpstr>
      <vt:lpstr>19_20 District Budget Summ-14</vt:lpstr>
      <vt:lpstr>PCFP - All Revenue AA-1 R-14</vt:lpstr>
      <vt:lpstr>PCFP-All Expense AA-1 Modi-14</vt:lpstr>
      <vt:lpstr>Title Page-15</vt:lpstr>
      <vt:lpstr>Comparative Summary-15</vt:lpstr>
      <vt:lpstr>19_20 District Budget Summ-15</vt:lpstr>
      <vt:lpstr>PCFP - All Revenue AA-1 R-15</vt:lpstr>
      <vt:lpstr>PCFP-All Expense AA-1 Modi-15</vt:lpstr>
      <vt:lpstr>Title Page-16</vt:lpstr>
      <vt:lpstr>Comparative Summary-16</vt:lpstr>
      <vt:lpstr>19_20 District Budget Summ-16</vt:lpstr>
      <vt:lpstr>PCFP - All Revenue AA-1 R-16</vt:lpstr>
      <vt:lpstr>PCFP-All Expense AA-1 Modi-16</vt:lpstr>
      <vt:lpstr>Title Page-17</vt:lpstr>
      <vt:lpstr>Comparative Summary-17</vt:lpstr>
      <vt:lpstr>19_20 District Budget Summ-17</vt:lpstr>
      <vt:lpstr>PCFP - All Revenue AA-1 R-17</vt:lpstr>
      <vt:lpstr>PCFP-All Expense AA-1 Modi-17</vt:lpstr>
      <vt:lpstr>'19_20 District Budget Summ-11'!Print_Area</vt:lpstr>
      <vt:lpstr>'PCFP - All Revenue AA-1 R -12'!Print_Area</vt:lpstr>
      <vt:lpstr>'PCFP - All Revenue AA-1 R -13'!Print_Area</vt:lpstr>
      <vt:lpstr>'PCFP - All Revenue AA-1 R -6'!Print_Area</vt:lpstr>
      <vt:lpstr>'PCFP - All Revenue AA-1 R-1'!Print_Area</vt:lpstr>
      <vt:lpstr>'PCFP - All Revenue AA-1 R-10'!Print_Area</vt:lpstr>
      <vt:lpstr>'PCFP - All Revenue AA-1 R-11'!Print_Area</vt:lpstr>
      <vt:lpstr>'PCFP - All Revenue AA-1 R-14'!Print_Area</vt:lpstr>
      <vt:lpstr>'PCFP - All Revenue AA-1 R-15'!Print_Area</vt:lpstr>
      <vt:lpstr>'PCFP - All Revenue AA-1 R-16'!Print_Area</vt:lpstr>
      <vt:lpstr>'PCFP - All Revenue AA-1 R-17'!Print_Area</vt:lpstr>
      <vt:lpstr>'PCFP - All Revenue AA-1 R-2'!Print_Area</vt:lpstr>
      <vt:lpstr>'PCFP - All Revenue AA-1 R-3'!Print_Area</vt:lpstr>
      <vt:lpstr>'PCFP - All Revenue AA-1 R-4'!Print_Area</vt:lpstr>
      <vt:lpstr>'PCFP - All Revenue AA-1 R-5'!Print_Area</vt:lpstr>
      <vt:lpstr>'PCFP - All Revenue AA-1 R-7'!Print_Area</vt:lpstr>
      <vt:lpstr>'PCFP - All Revenue AA-1 R-8'!Print_Area</vt:lpstr>
      <vt:lpstr>'PCFP - All Revenue AA-1 R-9'!Print_Area</vt:lpstr>
      <vt:lpstr>'PCFP-All Expense AA-1 Modi-12'!Print_Area</vt:lpstr>
      <vt:lpstr>'PCFP-All Expense AA-1 Modi-13'!Print_Area</vt:lpstr>
      <vt:lpstr>'PCFP-All Expense AA-1 Modi-14'!Print_Area</vt:lpstr>
      <vt:lpstr>'PCFP-All Expense AA-1 Modi-15'!Print_Area</vt:lpstr>
      <vt:lpstr>'PCFP-All Expense AA-1 Modi-16'!Print_Area</vt:lpstr>
      <vt:lpstr>'PCFP-All Expense AA-1 Modi-17'!Print_Area</vt:lpstr>
      <vt:lpstr>'PCFP-All Expense AA-1 Modif-3'!Print_Area</vt:lpstr>
      <vt:lpstr>'PCFP-All Expense AA-1 Modif-4'!Print_Area</vt:lpstr>
      <vt:lpstr>'PCFP-All Expense AA-1 Modif-5'!Print_Area</vt:lpstr>
      <vt:lpstr>'PCFP-All Expense AA-1 Modif-6'!Print_Area</vt:lpstr>
      <vt:lpstr>'PCFP-All Expense AA-1 Modif-7'!Print_Area</vt:lpstr>
      <vt:lpstr>'PCFP-All Expense AA-1 Modif-8'!Print_Area</vt:lpstr>
      <vt:lpstr>'PCFP-All Expense AA-1 Modif-9'!Print_Area</vt:lpstr>
      <vt:lpstr>'PCFP-All Expense AA-1 Modifd-1'!Print_Area</vt:lpstr>
      <vt:lpstr>'PCFP-All Expense AA-1 Modifd-10'!Print_Area</vt:lpstr>
      <vt:lpstr>'PCFP-All Expense AA-1 Modifd-11'!Print_Area</vt:lpstr>
      <vt:lpstr>'PCFP-All Expense AA-1 Modifd-2'!Print_Area</vt:lpstr>
      <vt:lpstr>'19_20 District Budget Summary-2'!Print_Titles</vt:lpstr>
      <vt:lpstr>'Comparative Summary-2'!Print_Titles</vt:lpstr>
      <vt:lpstr>'PCFP - All Revenue AA-1 R-2'!Print_Titles</vt:lpstr>
      <vt:lpstr>'PCFP-All Expense AA-1 Modifd-2'!Print_Titles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L. Kirkpatrick</dc:creator>
  <cp:lastModifiedBy>Roxanne Starbuck</cp:lastModifiedBy>
  <cp:lastPrinted>2020-05-12T00:36:05Z</cp:lastPrinted>
  <dcterms:created xsi:type="dcterms:W3CDTF">2020-05-08T13:33:28Z</dcterms:created>
  <dcterms:modified xsi:type="dcterms:W3CDTF">2020-05-13T14:27:25Z</dcterms:modified>
</cp:coreProperties>
</file>